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82A58B9-38EF-4740-AFE8-8EDDCCD7AE8B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Kalk" sheetId="1" r:id="rId1"/>
    <sheet name="F0110" sheetId="2" r:id="rId2"/>
    <sheet name="F0200" sheetId="3" r:id="rId3"/>
    <sheet name="F0201" sheetId="4" r:id="rId4"/>
    <sheet name="F0202" sheetId="5" r:id="rId5"/>
    <sheet name="F0203" sheetId="6" r:id="rId6"/>
    <sheet name="F0200-F0203" sheetId="7" r:id="rId7"/>
    <sheet name="F0201-F0203" sheetId="8" r:id="rId8"/>
    <sheet name="F0409" sheetId="9" r:id="rId9"/>
    <sheet name="F0410" sheetId="10" r:id="rId10"/>
    <sheet name="F0422" sheetId="11" r:id="rId11"/>
    <sheet name="F0427" sheetId="12" r:id="rId12"/>
    <sheet name="F0451" sheetId="13" r:id="rId13"/>
    <sheet name="F0452" sheetId="14" r:id="rId14"/>
    <sheet name="F0501" sheetId="15" r:id="rId15"/>
    <sheet name="F0711" sheetId="16" r:id="rId16"/>
    <sheet name="F0713" sheetId="17" r:id="rId17"/>
    <sheet name="Kalkulator gramatury" sheetId="18" r:id="rId18"/>
    <sheet name="baza" sheetId="19" r:id="rId19"/>
    <sheet name="ISOWA" sheetId="20" r:id="rId20"/>
    <sheet name="KYS" sheetId="21" r:id="rId21"/>
    <sheet name="TEXO" sheetId="22" r:id="rId22"/>
    <sheet name="ETERNA" sheetId="23" r:id="rId23"/>
    <sheet name="KLEJENIE" sheetId="24" r:id="rId24"/>
    <sheet name="transport" sheetId="25" r:id="rId25"/>
    <sheet name="BCT" sheetId="26" r:id="rId26"/>
    <sheet name="Pakowanie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T4" i="1" l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3" i="1"/>
  <c r="AN3" i="1"/>
  <c r="L84" i="27"/>
  <c r="L75" i="27"/>
  <c r="L66" i="27"/>
  <c r="L57" i="27"/>
  <c r="L48" i="27"/>
  <c r="L39" i="27"/>
  <c r="L30" i="27"/>
  <c r="L21" i="27"/>
  <c r="L12" i="27"/>
  <c r="L4" i="1"/>
  <c r="P75" i="24"/>
  <c r="O75" i="24"/>
  <c r="P67" i="24"/>
  <c r="O67" i="24"/>
  <c r="P59" i="24"/>
  <c r="O59" i="24"/>
  <c r="P51" i="24"/>
  <c r="O51" i="24"/>
  <c r="P43" i="24"/>
  <c r="O43" i="24"/>
  <c r="P35" i="24"/>
  <c r="O35" i="24"/>
  <c r="P27" i="24"/>
  <c r="O27" i="24"/>
  <c r="P19" i="24"/>
  <c r="O19" i="24"/>
  <c r="O23" i="24" s="1"/>
  <c r="P11" i="24"/>
  <c r="O11" i="24"/>
  <c r="F120" i="8"/>
  <c r="F119" i="8"/>
  <c r="F118" i="8"/>
  <c r="F117" i="8"/>
  <c r="F108" i="8"/>
  <c r="F107" i="8"/>
  <c r="F106" i="8"/>
  <c r="F105" i="8"/>
  <c r="F96" i="8"/>
  <c r="F95" i="8"/>
  <c r="F94" i="8"/>
  <c r="F93" i="8"/>
  <c r="F84" i="8"/>
  <c r="F83" i="8"/>
  <c r="F82" i="8"/>
  <c r="F81" i="8"/>
  <c r="F72" i="8"/>
  <c r="F71" i="8"/>
  <c r="H71" i="8" s="1"/>
  <c r="F70" i="8"/>
  <c r="F69" i="8"/>
  <c r="F60" i="8"/>
  <c r="F59" i="8"/>
  <c r="F58" i="8"/>
  <c r="F57" i="8"/>
  <c r="F48" i="8"/>
  <c r="F47" i="8"/>
  <c r="F46" i="8"/>
  <c r="F45" i="8"/>
  <c r="F36" i="8"/>
  <c r="F35" i="8"/>
  <c r="F34" i="8"/>
  <c r="F33" i="8"/>
  <c r="F24" i="8"/>
  <c r="F23" i="8"/>
  <c r="F22" i="8"/>
  <c r="F21" i="8"/>
  <c r="F120" i="7"/>
  <c r="F119" i="7"/>
  <c r="F118" i="7"/>
  <c r="F117" i="7"/>
  <c r="F108" i="7"/>
  <c r="F107" i="7"/>
  <c r="F106" i="7"/>
  <c r="F105" i="7"/>
  <c r="F96" i="7"/>
  <c r="F95" i="7"/>
  <c r="F94" i="7"/>
  <c r="F93" i="7"/>
  <c r="F84" i="7"/>
  <c r="F83" i="7"/>
  <c r="F82" i="7"/>
  <c r="F81" i="7"/>
  <c r="F72" i="7"/>
  <c r="F71" i="7"/>
  <c r="F70" i="7"/>
  <c r="F69" i="7"/>
  <c r="F60" i="7"/>
  <c r="F59" i="7"/>
  <c r="F58" i="7"/>
  <c r="F57" i="7"/>
  <c r="F48" i="7"/>
  <c r="F47" i="7"/>
  <c r="F46" i="7"/>
  <c r="F45" i="7"/>
  <c r="F36" i="7"/>
  <c r="F35" i="7"/>
  <c r="F34" i="7"/>
  <c r="F33" i="7"/>
  <c r="F24" i="7"/>
  <c r="F23" i="7"/>
  <c r="F22" i="7"/>
  <c r="F21" i="7"/>
  <c r="F120" i="6"/>
  <c r="F119" i="6"/>
  <c r="F118" i="6"/>
  <c r="F117" i="6"/>
  <c r="F108" i="6"/>
  <c r="F107" i="6"/>
  <c r="F106" i="6"/>
  <c r="F105" i="6"/>
  <c r="F96" i="6"/>
  <c r="F95" i="6"/>
  <c r="F94" i="6"/>
  <c r="F93" i="6"/>
  <c r="F84" i="6"/>
  <c r="F83" i="6"/>
  <c r="F82" i="6"/>
  <c r="F81" i="6"/>
  <c r="F72" i="6"/>
  <c r="F71" i="6"/>
  <c r="F70" i="6"/>
  <c r="F69" i="6"/>
  <c r="F60" i="6"/>
  <c r="F59" i="6"/>
  <c r="F58" i="6"/>
  <c r="F57" i="6"/>
  <c r="F48" i="6"/>
  <c r="F47" i="6"/>
  <c r="F46" i="6"/>
  <c r="F45" i="6"/>
  <c r="F36" i="6"/>
  <c r="F35" i="6"/>
  <c r="F34" i="6"/>
  <c r="F33" i="6"/>
  <c r="F24" i="6"/>
  <c r="F23" i="6"/>
  <c r="F22" i="6"/>
  <c r="F21" i="6"/>
  <c r="F120" i="5"/>
  <c r="F119" i="5"/>
  <c r="F118" i="5"/>
  <c r="F117" i="5"/>
  <c r="F108" i="5"/>
  <c r="F107" i="5"/>
  <c r="F106" i="5"/>
  <c r="F105" i="5"/>
  <c r="F96" i="5"/>
  <c r="F95" i="5"/>
  <c r="F94" i="5"/>
  <c r="F93" i="5"/>
  <c r="F84" i="5"/>
  <c r="F83" i="5"/>
  <c r="F82" i="5"/>
  <c r="F81" i="5"/>
  <c r="F72" i="5"/>
  <c r="F71" i="5"/>
  <c r="F70" i="5"/>
  <c r="F69" i="5"/>
  <c r="F60" i="5"/>
  <c r="F59" i="5"/>
  <c r="F58" i="5"/>
  <c r="F57" i="5"/>
  <c r="F48" i="5"/>
  <c r="F47" i="5"/>
  <c r="F46" i="5"/>
  <c r="F45" i="5"/>
  <c r="F36" i="5"/>
  <c r="F35" i="5"/>
  <c r="F34" i="5"/>
  <c r="F33" i="5"/>
  <c r="F24" i="5"/>
  <c r="F23" i="5"/>
  <c r="F22" i="5"/>
  <c r="F21" i="5"/>
  <c r="F120" i="4"/>
  <c r="F119" i="4"/>
  <c r="F118" i="4"/>
  <c r="F117" i="4"/>
  <c r="F108" i="4"/>
  <c r="F107" i="4"/>
  <c r="F106" i="4"/>
  <c r="F105" i="4"/>
  <c r="F96" i="4"/>
  <c r="F95" i="4"/>
  <c r="F94" i="4"/>
  <c r="F93" i="4"/>
  <c r="F84" i="4"/>
  <c r="F83" i="4"/>
  <c r="F82" i="4"/>
  <c r="F81" i="4"/>
  <c r="F72" i="4"/>
  <c r="F71" i="4"/>
  <c r="F70" i="4"/>
  <c r="F69" i="4"/>
  <c r="F60" i="4"/>
  <c r="F59" i="4"/>
  <c r="F58" i="4"/>
  <c r="F57" i="4"/>
  <c r="F48" i="4"/>
  <c r="F47" i="4"/>
  <c r="F46" i="4"/>
  <c r="F45" i="4"/>
  <c r="F36" i="4"/>
  <c r="F35" i="4"/>
  <c r="F34" i="4"/>
  <c r="F33" i="4"/>
  <c r="F24" i="4"/>
  <c r="F23" i="4"/>
  <c r="F22" i="4"/>
  <c r="F21" i="4"/>
  <c r="E12" i="27"/>
  <c r="I79" i="21"/>
  <c r="H79" i="21"/>
  <c r="G79" i="21"/>
  <c r="F79" i="21"/>
  <c r="I71" i="21"/>
  <c r="H71" i="21"/>
  <c r="G71" i="21"/>
  <c r="F71" i="21"/>
  <c r="I63" i="21"/>
  <c r="H63" i="21"/>
  <c r="G63" i="21"/>
  <c r="F63" i="21"/>
  <c r="I55" i="21"/>
  <c r="H55" i="21"/>
  <c r="G55" i="21"/>
  <c r="F55" i="21"/>
  <c r="I47" i="21"/>
  <c r="H47" i="21"/>
  <c r="G47" i="21"/>
  <c r="F47" i="21"/>
  <c r="I39" i="21"/>
  <c r="H39" i="21"/>
  <c r="G39" i="21"/>
  <c r="F39" i="21"/>
  <c r="I31" i="21"/>
  <c r="H31" i="21"/>
  <c r="G31" i="21"/>
  <c r="F31" i="21"/>
  <c r="I23" i="21"/>
  <c r="H23" i="21"/>
  <c r="G23" i="21"/>
  <c r="F23" i="21"/>
  <c r="I15" i="21"/>
  <c r="H15" i="21"/>
  <c r="G15" i="21"/>
  <c r="F15" i="21"/>
  <c r="I7" i="21"/>
  <c r="H76" i="21"/>
  <c r="E76" i="21"/>
  <c r="D76" i="21"/>
  <c r="H68" i="21"/>
  <c r="E68" i="21"/>
  <c r="D68" i="21"/>
  <c r="H60" i="21"/>
  <c r="E60" i="21"/>
  <c r="D60" i="21"/>
  <c r="H52" i="21"/>
  <c r="E52" i="21"/>
  <c r="D52" i="21"/>
  <c r="H44" i="21"/>
  <c r="E44" i="21"/>
  <c r="D44" i="21"/>
  <c r="H36" i="21"/>
  <c r="E36" i="21"/>
  <c r="D36" i="21"/>
  <c r="H28" i="21"/>
  <c r="E28" i="21"/>
  <c r="D28" i="21"/>
  <c r="H20" i="21"/>
  <c r="E20" i="21"/>
  <c r="D20" i="21"/>
  <c r="H12" i="21"/>
  <c r="E12" i="21"/>
  <c r="D12" i="21"/>
  <c r="E4" i="21"/>
  <c r="F17" i="22"/>
  <c r="I86" i="22"/>
  <c r="H86" i="22"/>
  <c r="D86" i="22"/>
  <c r="C86" i="22"/>
  <c r="I77" i="22"/>
  <c r="H77" i="22"/>
  <c r="D77" i="22"/>
  <c r="C77" i="22"/>
  <c r="I68" i="22"/>
  <c r="H68" i="22"/>
  <c r="D68" i="22"/>
  <c r="C68" i="22"/>
  <c r="I59" i="22"/>
  <c r="H59" i="22"/>
  <c r="C59" i="22"/>
  <c r="I50" i="22"/>
  <c r="H50" i="22"/>
  <c r="C50" i="22"/>
  <c r="I41" i="22"/>
  <c r="H41" i="22"/>
  <c r="C41" i="22"/>
  <c r="I32" i="22"/>
  <c r="H32" i="22"/>
  <c r="C32" i="22"/>
  <c r="I23" i="22"/>
  <c r="H23" i="22"/>
  <c r="C23" i="22"/>
  <c r="I14" i="22"/>
  <c r="H14" i="22"/>
  <c r="C14" i="22"/>
  <c r="H5" i="22"/>
  <c r="C5" i="22"/>
  <c r="I86" i="23"/>
  <c r="H86" i="23"/>
  <c r="E86" i="23"/>
  <c r="I77" i="23"/>
  <c r="H77" i="23"/>
  <c r="E77" i="23"/>
  <c r="I68" i="23"/>
  <c r="H68" i="23"/>
  <c r="E68" i="23"/>
  <c r="I59" i="23"/>
  <c r="H59" i="23"/>
  <c r="E59" i="23"/>
  <c r="I50" i="23"/>
  <c r="H50" i="23"/>
  <c r="E50" i="23"/>
  <c r="I41" i="23"/>
  <c r="H41" i="23"/>
  <c r="E41" i="23"/>
  <c r="I32" i="23"/>
  <c r="H32" i="23"/>
  <c r="E32" i="23"/>
  <c r="H23" i="23"/>
  <c r="E23" i="23"/>
  <c r="H14" i="23"/>
  <c r="E14" i="23"/>
  <c r="H5" i="23"/>
  <c r="I86" i="20"/>
  <c r="H86" i="20"/>
  <c r="G86" i="20"/>
  <c r="F86" i="20"/>
  <c r="E86" i="20"/>
  <c r="D86" i="20"/>
  <c r="C86" i="20"/>
  <c r="B86" i="20"/>
  <c r="I77" i="20"/>
  <c r="H77" i="20"/>
  <c r="G77" i="20"/>
  <c r="F77" i="20"/>
  <c r="E77" i="20"/>
  <c r="D77" i="20"/>
  <c r="C77" i="20"/>
  <c r="B77" i="20"/>
  <c r="I68" i="20"/>
  <c r="H68" i="20"/>
  <c r="G68" i="20"/>
  <c r="F68" i="20"/>
  <c r="E68" i="20"/>
  <c r="D68" i="20"/>
  <c r="C68" i="20"/>
  <c r="B68" i="20"/>
  <c r="I59" i="20"/>
  <c r="H59" i="20"/>
  <c r="E59" i="20"/>
  <c r="D59" i="20"/>
  <c r="C59" i="20"/>
  <c r="I50" i="20"/>
  <c r="H50" i="20"/>
  <c r="E50" i="20"/>
  <c r="D50" i="20"/>
  <c r="C50" i="20"/>
  <c r="I41" i="20"/>
  <c r="H41" i="20"/>
  <c r="E41" i="20"/>
  <c r="D41" i="20"/>
  <c r="C41" i="20"/>
  <c r="I32" i="20"/>
  <c r="H32" i="20"/>
  <c r="E32" i="20"/>
  <c r="D32" i="20"/>
  <c r="C32" i="20"/>
  <c r="I23" i="20"/>
  <c r="H23" i="20"/>
  <c r="E23" i="20"/>
  <c r="D23" i="20"/>
  <c r="C23" i="20"/>
  <c r="I14" i="20"/>
  <c r="H14" i="20"/>
  <c r="E14" i="20"/>
  <c r="D14" i="20"/>
  <c r="C14" i="20"/>
  <c r="H5" i="20"/>
  <c r="E5" i="20"/>
  <c r="D5" i="20"/>
  <c r="C5" i="20"/>
  <c r="I5" i="20"/>
  <c r="K4" i="1"/>
  <c r="D88" i="27"/>
  <c r="C88" i="27"/>
  <c r="C87" i="27"/>
  <c r="C86" i="27"/>
  <c r="T85" i="27"/>
  <c r="S85" i="27"/>
  <c r="B85" i="27"/>
  <c r="F87" i="27" s="1"/>
  <c r="F86" i="27" s="1"/>
  <c r="J84" i="27"/>
  <c r="I84" i="27"/>
  <c r="H84" i="27"/>
  <c r="O40" i="1" s="1"/>
  <c r="E84" i="27"/>
  <c r="F88" i="27" s="1"/>
  <c r="B83" i="27"/>
  <c r="F78" i="27"/>
  <c r="T76" i="27"/>
  <c r="S76" i="27"/>
  <c r="B76" i="27"/>
  <c r="E78" i="27" s="1"/>
  <c r="J75" i="27"/>
  <c r="I75" i="27"/>
  <c r="H75" i="27"/>
  <c r="E75" i="27"/>
  <c r="B74" i="27"/>
  <c r="C70" i="27"/>
  <c r="C68" i="27" s="1"/>
  <c r="F69" i="27"/>
  <c r="C69" i="27"/>
  <c r="F68" i="27"/>
  <c r="T67" i="27"/>
  <c r="S67" i="27"/>
  <c r="B67" i="27"/>
  <c r="E69" i="27" s="1"/>
  <c r="J66" i="27"/>
  <c r="I66" i="27"/>
  <c r="H66" i="27"/>
  <c r="E66" i="27"/>
  <c r="F70" i="27" s="1"/>
  <c r="B65" i="27"/>
  <c r="F61" i="27"/>
  <c r="T58" i="27"/>
  <c r="S58" i="27"/>
  <c r="B58" i="27"/>
  <c r="J57" i="27"/>
  <c r="I57" i="27"/>
  <c r="H57" i="27"/>
  <c r="E57" i="27"/>
  <c r="B56" i="27"/>
  <c r="F52" i="27"/>
  <c r="F50" i="27" s="1"/>
  <c r="E52" i="27"/>
  <c r="D52" i="27"/>
  <c r="F51" i="27"/>
  <c r="C51" i="27"/>
  <c r="C50" i="27"/>
  <c r="T49" i="27"/>
  <c r="S49" i="27"/>
  <c r="B49" i="27"/>
  <c r="E51" i="27" s="1"/>
  <c r="E50" i="27" s="1"/>
  <c r="J48" i="27"/>
  <c r="I48" i="27"/>
  <c r="H48" i="27"/>
  <c r="E48" i="27"/>
  <c r="C52" i="27" s="1"/>
  <c r="B47" i="27"/>
  <c r="F43" i="27"/>
  <c r="E43" i="27"/>
  <c r="D43" i="27"/>
  <c r="C43" i="27"/>
  <c r="F42" i="27"/>
  <c r="F41" i="27" s="1"/>
  <c r="E42" i="27"/>
  <c r="E41" i="27" s="1"/>
  <c r="T40" i="27"/>
  <c r="S40" i="27"/>
  <c r="B40" i="27"/>
  <c r="J39" i="27"/>
  <c r="I39" i="27"/>
  <c r="H39" i="27"/>
  <c r="E39" i="27"/>
  <c r="B38" i="27"/>
  <c r="F34" i="27"/>
  <c r="E34" i="27"/>
  <c r="D34" i="27"/>
  <c r="C34" i="27"/>
  <c r="T31" i="27"/>
  <c r="S31" i="27"/>
  <c r="B31" i="27"/>
  <c r="J30" i="27"/>
  <c r="I30" i="27"/>
  <c r="H30" i="27"/>
  <c r="E30" i="27"/>
  <c r="B29" i="27"/>
  <c r="F24" i="27"/>
  <c r="E24" i="27"/>
  <c r="T22" i="27"/>
  <c r="S22" i="27"/>
  <c r="B22" i="27"/>
  <c r="J21" i="27"/>
  <c r="I21" i="27"/>
  <c r="H21" i="27"/>
  <c r="E21" i="27"/>
  <c r="B20" i="27"/>
  <c r="O15" i="27"/>
  <c r="C15" i="27"/>
  <c r="T13" i="27"/>
  <c r="S13" i="27"/>
  <c r="B13" i="27"/>
  <c r="F15" i="27" s="1"/>
  <c r="J12" i="27"/>
  <c r="I12" i="27"/>
  <c r="H12" i="27"/>
  <c r="B11" i="27"/>
  <c r="C7" i="27"/>
  <c r="E6" i="27"/>
  <c r="S5" i="27"/>
  <c r="T4" i="27"/>
  <c r="S4" i="27"/>
  <c r="B4" i="27"/>
  <c r="J3" i="27"/>
  <c r="E3" i="27"/>
  <c r="B2" i="27"/>
  <c r="B4" i="26"/>
  <c r="B2" i="26" s="1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I2" i="25"/>
  <c r="O79" i="24"/>
  <c r="I79" i="24"/>
  <c r="H79" i="24"/>
  <c r="F79" i="24" s="1"/>
  <c r="C78" i="24"/>
  <c r="J77" i="24"/>
  <c r="J76" i="24"/>
  <c r="I76" i="24"/>
  <c r="G76" i="24"/>
  <c r="E76" i="24"/>
  <c r="C76" i="24"/>
  <c r="J75" i="24"/>
  <c r="E75" i="24"/>
  <c r="C75" i="24"/>
  <c r="G79" i="24" s="1"/>
  <c r="P79" i="24" s="1"/>
  <c r="J74" i="24"/>
  <c r="P71" i="24"/>
  <c r="O71" i="24"/>
  <c r="I71" i="24"/>
  <c r="H71" i="24"/>
  <c r="F71" i="24" s="1"/>
  <c r="G71" i="24"/>
  <c r="J69" i="24"/>
  <c r="J68" i="24"/>
  <c r="I68" i="24"/>
  <c r="G68" i="24"/>
  <c r="C68" i="24"/>
  <c r="J67" i="24"/>
  <c r="E67" i="24"/>
  <c r="E68" i="24" s="1"/>
  <c r="C67" i="24"/>
  <c r="C70" i="24" s="1"/>
  <c r="J66" i="24"/>
  <c r="O63" i="24"/>
  <c r="I63" i="24"/>
  <c r="H63" i="24"/>
  <c r="F63" i="24" s="1"/>
  <c r="C62" i="24"/>
  <c r="J61" i="24"/>
  <c r="J60" i="24"/>
  <c r="I60" i="24"/>
  <c r="E60" i="24"/>
  <c r="C60" i="24"/>
  <c r="J59" i="24"/>
  <c r="E59" i="24"/>
  <c r="C59" i="24"/>
  <c r="G60" i="24" s="1"/>
  <c r="J58" i="24"/>
  <c r="O55" i="24"/>
  <c r="I55" i="24"/>
  <c r="H55" i="24"/>
  <c r="F55" i="24"/>
  <c r="C54" i="24"/>
  <c r="J53" i="24"/>
  <c r="J52" i="24"/>
  <c r="I52" i="24"/>
  <c r="J51" i="24"/>
  <c r="E51" i="24"/>
  <c r="E52" i="24" s="1"/>
  <c r="C51" i="24"/>
  <c r="J50" i="24"/>
  <c r="O47" i="24"/>
  <c r="I47" i="24"/>
  <c r="H47" i="24"/>
  <c r="F47" i="24"/>
  <c r="J45" i="24"/>
  <c r="J44" i="24"/>
  <c r="I44" i="24"/>
  <c r="E44" i="24"/>
  <c r="J43" i="24"/>
  <c r="E43" i="24"/>
  <c r="C43" i="24"/>
  <c r="J42" i="24"/>
  <c r="O39" i="24"/>
  <c r="I39" i="24"/>
  <c r="H39" i="24"/>
  <c r="F39" i="24"/>
  <c r="C38" i="24"/>
  <c r="J37" i="24"/>
  <c r="J36" i="24"/>
  <c r="I36" i="24"/>
  <c r="G36" i="24"/>
  <c r="E36" i="24"/>
  <c r="C36" i="24"/>
  <c r="J35" i="24"/>
  <c r="E35" i="24"/>
  <c r="C35" i="24"/>
  <c r="G39" i="24" s="1"/>
  <c r="P39" i="24" s="1"/>
  <c r="J34" i="24"/>
  <c r="P31" i="24"/>
  <c r="O31" i="24"/>
  <c r="I31" i="24"/>
  <c r="H31" i="24"/>
  <c r="F31" i="24" s="1"/>
  <c r="G31" i="24"/>
  <c r="J29" i="24"/>
  <c r="J28" i="24"/>
  <c r="I28" i="24"/>
  <c r="G28" i="24"/>
  <c r="E28" i="24"/>
  <c r="C28" i="24"/>
  <c r="J27" i="24"/>
  <c r="E27" i="24"/>
  <c r="C27" i="24"/>
  <c r="C30" i="24" s="1"/>
  <c r="J26" i="24"/>
  <c r="I23" i="24"/>
  <c r="H23" i="24"/>
  <c r="F23" i="24" s="1"/>
  <c r="C22" i="24"/>
  <c r="J21" i="24"/>
  <c r="J20" i="24"/>
  <c r="I20" i="24"/>
  <c r="E20" i="24"/>
  <c r="C20" i="24"/>
  <c r="J19" i="24"/>
  <c r="E19" i="24"/>
  <c r="C19" i="24"/>
  <c r="G20" i="24" s="1"/>
  <c r="J18" i="24"/>
  <c r="O15" i="24"/>
  <c r="I15" i="24"/>
  <c r="H15" i="24"/>
  <c r="F15" i="24"/>
  <c r="C14" i="24"/>
  <c r="J13" i="24"/>
  <c r="J12" i="24"/>
  <c r="I12" i="24"/>
  <c r="J11" i="24"/>
  <c r="E11" i="24"/>
  <c r="E12" i="24" s="1"/>
  <c r="C11" i="24"/>
  <c r="J10" i="24"/>
  <c r="I7" i="24"/>
  <c r="H7" i="24"/>
  <c r="F7" i="24" s="1"/>
  <c r="J5" i="24"/>
  <c r="J4" i="24"/>
  <c r="I4" i="24"/>
  <c r="J3" i="24"/>
  <c r="E3" i="24"/>
  <c r="O3" i="24" s="1"/>
  <c r="O7" i="24" s="1"/>
  <c r="C3" i="24"/>
  <c r="J2" i="24"/>
  <c r="J87" i="23"/>
  <c r="K87" i="23" s="1"/>
  <c r="J86" i="23"/>
  <c r="K86" i="23" s="1"/>
  <c r="K85" i="23"/>
  <c r="J85" i="23"/>
  <c r="H85" i="23"/>
  <c r="E85" i="23"/>
  <c r="J84" i="23"/>
  <c r="K84" i="23" s="1"/>
  <c r="K78" i="23"/>
  <c r="J78" i="23"/>
  <c r="K77" i="23"/>
  <c r="J77" i="23"/>
  <c r="J76" i="23"/>
  <c r="K76" i="23" s="1"/>
  <c r="H76" i="23"/>
  <c r="E76" i="23"/>
  <c r="J75" i="23"/>
  <c r="K75" i="23" s="1"/>
  <c r="J69" i="23"/>
  <c r="K69" i="23" s="1"/>
  <c r="K68" i="23"/>
  <c r="J68" i="23"/>
  <c r="J67" i="23"/>
  <c r="K67" i="23" s="1"/>
  <c r="H67" i="23"/>
  <c r="E67" i="23"/>
  <c r="K66" i="23"/>
  <c r="J66" i="23"/>
  <c r="B65" i="23"/>
  <c r="J60" i="23"/>
  <c r="K60" i="23" s="1"/>
  <c r="J59" i="23"/>
  <c r="K59" i="23" s="1"/>
  <c r="J58" i="23"/>
  <c r="K58" i="23" s="1"/>
  <c r="H58" i="23"/>
  <c r="E58" i="23"/>
  <c r="K57" i="23"/>
  <c r="J57" i="23"/>
  <c r="K51" i="23"/>
  <c r="J51" i="23"/>
  <c r="K50" i="23"/>
  <c r="J50" i="23"/>
  <c r="K49" i="23"/>
  <c r="J49" i="23"/>
  <c r="H49" i="23"/>
  <c r="E49" i="23"/>
  <c r="K48" i="23"/>
  <c r="J48" i="23"/>
  <c r="J42" i="23"/>
  <c r="K42" i="23" s="1"/>
  <c r="K41" i="23"/>
  <c r="J41" i="23"/>
  <c r="K40" i="23"/>
  <c r="J40" i="23"/>
  <c r="H40" i="23"/>
  <c r="E40" i="23"/>
  <c r="J39" i="23"/>
  <c r="K39" i="23" s="1"/>
  <c r="K33" i="23"/>
  <c r="J33" i="23"/>
  <c r="J32" i="23"/>
  <c r="K32" i="23" s="1"/>
  <c r="K31" i="23"/>
  <c r="J31" i="23"/>
  <c r="H31" i="23"/>
  <c r="E31" i="23"/>
  <c r="K30" i="23"/>
  <c r="J30" i="23"/>
  <c r="K24" i="23"/>
  <c r="J24" i="23"/>
  <c r="K23" i="23"/>
  <c r="J23" i="23"/>
  <c r="J22" i="23"/>
  <c r="K22" i="23" s="1"/>
  <c r="H22" i="23"/>
  <c r="E22" i="23"/>
  <c r="J21" i="23"/>
  <c r="K21" i="23" s="1"/>
  <c r="J15" i="23"/>
  <c r="K15" i="23" s="1"/>
  <c r="J14" i="23"/>
  <c r="K14" i="23" s="1"/>
  <c r="J13" i="23"/>
  <c r="K13" i="23" s="1"/>
  <c r="H13" i="23"/>
  <c r="E13" i="23"/>
  <c r="J12" i="23"/>
  <c r="K12" i="23" s="1"/>
  <c r="J6" i="23"/>
  <c r="K6" i="23" s="1"/>
  <c r="J5" i="23"/>
  <c r="K5" i="23" s="1"/>
  <c r="I5" i="23"/>
  <c r="J4" i="23"/>
  <c r="K4" i="23" s="1"/>
  <c r="H4" i="23"/>
  <c r="E4" i="23"/>
  <c r="E5" i="23" s="1"/>
  <c r="J3" i="23"/>
  <c r="K3" i="23" s="1"/>
  <c r="I89" i="22"/>
  <c r="K87" i="22"/>
  <c r="J87" i="22"/>
  <c r="K86" i="22"/>
  <c r="J86" i="22"/>
  <c r="J85" i="22"/>
  <c r="K85" i="22" s="1"/>
  <c r="H85" i="22"/>
  <c r="E85" i="22"/>
  <c r="H89" i="22" s="1"/>
  <c r="D85" i="22"/>
  <c r="C85" i="22"/>
  <c r="J84" i="22"/>
  <c r="L84" i="22" s="1"/>
  <c r="I80" i="22"/>
  <c r="H80" i="22"/>
  <c r="J78" i="22"/>
  <c r="J77" i="22"/>
  <c r="J76" i="22"/>
  <c r="H76" i="22"/>
  <c r="E76" i="22"/>
  <c r="D76" i="22"/>
  <c r="C76" i="22"/>
  <c r="J75" i="22"/>
  <c r="I71" i="22"/>
  <c r="K66" i="22" s="1"/>
  <c r="F71" i="22"/>
  <c r="J69" i="22"/>
  <c r="J68" i="22"/>
  <c r="J67" i="22"/>
  <c r="H67" i="22"/>
  <c r="E67" i="22"/>
  <c r="H71" i="22" s="1"/>
  <c r="D67" i="22"/>
  <c r="C67" i="22"/>
  <c r="L66" i="22"/>
  <c r="J66" i="22"/>
  <c r="I62" i="22"/>
  <c r="K57" i="22" s="1"/>
  <c r="J60" i="22"/>
  <c r="J59" i="22"/>
  <c r="J58" i="22"/>
  <c r="K58" i="22" s="1"/>
  <c r="H58" i="22"/>
  <c r="E58" i="22"/>
  <c r="H62" i="22" s="1"/>
  <c r="D58" i="22"/>
  <c r="C58" i="22"/>
  <c r="L57" i="22"/>
  <c r="J57" i="22"/>
  <c r="I53" i="22"/>
  <c r="K51" i="22"/>
  <c r="J51" i="22"/>
  <c r="J50" i="22"/>
  <c r="K50" i="22" s="1"/>
  <c r="J49" i="22"/>
  <c r="K49" i="22" s="1"/>
  <c r="H49" i="22"/>
  <c r="E49" i="22"/>
  <c r="H53" i="22" s="1"/>
  <c r="D49" i="22"/>
  <c r="C49" i="22"/>
  <c r="J48" i="22"/>
  <c r="L48" i="22" s="1"/>
  <c r="I44" i="22"/>
  <c r="K42" i="22" s="1"/>
  <c r="H44" i="22"/>
  <c r="J42" i="22"/>
  <c r="J41" i="22"/>
  <c r="K41" i="22" s="1"/>
  <c r="J40" i="22"/>
  <c r="H40" i="22"/>
  <c r="E40" i="22"/>
  <c r="D40" i="22"/>
  <c r="C40" i="22"/>
  <c r="J39" i="22"/>
  <c r="I35" i="22"/>
  <c r="F35" i="22"/>
  <c r="J33" i="22"/>
  <c r="J32" i="22"/>
  <c r="J31" i="22"/>
  <c r="H31" i="22"/>
  <c r="E31" i="22"/>
  <c r="H35" i="22" s="1"/>
  <c r="D31" i="22"/>
  <c r="C31" i="22"/>
  <c r="L30" i="22"/>
  <c r="J30" i="22"/>
  <c r="I26" i="22"/>
  <c r="J24" i="22"/>
  <c r="K24" i="22" s="1"/>
  <c r="J23" i="22"/>
  <c r="K23" i="22" s="1"/>
  <c r="J22" i="22"/>
  <c r="H22" i="22"/>
  <c r="E22" i="22"/>
  <c r="H26" i="22" s="1"/>
  <c r="D22" i="22"/>
  <c r="C22" i="22"/>
  <c r="L21" i="22"/>
  <c r="J21" i="22"/>
  <c r="I17" i="22"/>
  <c r="J15" i="22"/>
  <c r="K15" i="22" s="1"/>
  <c r="K14" i="22"/>
  <c r="J14" i="22"/>
  <c r="K13" i="22"/>
  <c r="J13" i="22"/>
  <c r="H13" i="22"/>
  <c r="E13" i="22"/>
  <c r="H17" i="22" s="1"/>
  <c r="D13" i="22"/>
  <c r="C13" i="22"/>
  <c r="J12" i="22"/>
  <c r="L12" i="22" s="1"/>
  <c r="I8" i="22"/>
  <c r="K6" i="22"/>
  <c r="J6" i="22"/>
  <c r="K5" i="22"/>
  <c r="J5" i="22"/>
  <c r="I5" i="22"/>
  <c r="J4" i="22"/>
  <c r="K4" i="22" s="1"/>
  <c r="H4" i="22"/>
  <c r="E4" i="22"/>
  <c r="H8" i="22" s="1"/>
  <c r="D4" i="22"/>
  <c r="C4" i="22"/>
  <c r="J3" i="22"/>
  <c r="L3" i="22" s="1"/>
  <c r="E75" i="21"/>
  <c r="D75" i="21"/>
  <c r="C75" i="21"/>
  <c r="E67" i="21"/>
  <c r="D67" i="21"/>
  <c r="C67" i="21"/>
  <c r="E59" i="21"/>
  <c r="D59" i="21"/>
  <c r="C59" i="21"/>
  <c r="E51" i="21"/>
  <c r="D51" i="21"/>
  <c r="C51" i="21"/>
  <c r="E43" i="21"/>
  <c r="D43" i="21"/>
  <c r="C43" i="21"/>
  <c r="E35" i="21"/>
  <c r="D35" i="21"/>
  <c r="C35" i="21"/>
  <c r="E27" i="21"/>
  <c r="D27" i="21"/>
  <c r="C27" i="21"/>
  <c r="E19" i="21"/>
  <c r="D19" i="21"/>
  <c r="C19" i="21"/>
  <c r="E11" i="21"/>
  <c r="D11" i="21"/>
  <c r="C11" i="21"/>
  <c r="H7" i="21"/>
  <c r="G7" i="21"/>
  <c r="F7" i="21"/>
  <c r="I6" i="21"/>
  <c r="H4" i="21"/>
  <c r="E3" i="21"/>
  <c r="D3" i="21"/>
  <c r="D4" i="21" s="1"/>
  <c r="C3" i="21"/>
  <c r="AM90" i="20"/>
  <c r="AL90" i="20"/>
  <c r="AK90" i="20"/>
  <c r="AJ90" i="20"/>
  <c r="AI90" i="20"/>
  <c r="AH90" i="20"/>
  <c r="AG90" i="20"/>
  <c r="AF90" i="20"/>
  <c r="AE90" i="20"/>
  <c r="AD90" i="20"/>
  <c r="AC90" i="20"/>
  <c r="AB90" i="20"/>
  <c r="AA90" i="20"/>
  <c r="Z90" i="20"/>
  <c r="Y90" i="20"/>
  <c r="X90" i="20"/>
  <c r="W90" i="20"/>
  <c r="V90" i="20"/>
  <c r="U90" i="20"/>
  <c r="T90" i="20"/>
  <c r="S90" i="20"/>
  <c r="R90" i="20"/>
  <c r="Q90" i="20"/>
  <c r="P90" i="20"/>
  <c r="O90" i="20"/>
  <c r="N90" i="20"/>
  <c r="M90" i="20"/>
  <c r="L90" i="20"/>
  <c r="I89" i="20"/>
  <c r="G89" i="20"/>
  <c r="J87" i="20"/>
  <c r="J86" i="20"/>
  <c r="J85" i="20"/>
  <c r="H85" i="20"/>
  <c r="E85" i="20"/>
  <c r="D85" i="20"/>
  <c r="C85" i="20"/>
  <c r="J84" i="20"/>
  <c r="AM81" i="20"/>
  <c r="AL81" i="20"/>
  <c r="AK81" i="20"/>
  <c r="AJ81" i="20"/>
  <c r="AI81" i="20"/>
  <c r="AH81" i="20"/>
  <c r="AG81" i="20"/>
  <c r="AF81" i="20"/>
  <c r="AE81" i="20"/>
  <c r="AD81" i="20"/>
  <c r="AC81" i="20"/>
  <c r="AB81" i="20"/>
  <c r="AA81" i="20"/>
  <c r="Z81" i="20"/>
  <c r="Y81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I80" i="20"/>
  <c r="G80" i="20"/>
  <c r="J78" i="20"/>
  <c r="J77" i="20"/>
  <c r="J76" i="20"/>
  <c r="H76" i="20"/>
  <c r="E76" i="20"/>
  <c r="D76" i="20"/>
  <c r="C76" i="20"/>
  <c r="J75" i="20"/>
  <c r="AM72" i="20"/>
  <c r="AL72" i="20"/>
  <c r="AK72" i="20"/>
  <c r="AJ72" i="20"/>
  <c r="AI72" i="20"/>
  <c r="AH72" i="20"/>
  <c r="AG72" i="20"/>
  <c r="AF72" i="20"/>
  <c r="AE72" i="20"/>
  <c r="AD72" i="20"/>
  <c r="AC72" i="20"/>
  <c r="AB72" i="20"/>
  <c r="AA72" i="20"/>
  <c r="Z72" i="20"/>
  <c r="Y72" i="20"/>
  <c r="X72" i="20"/>
  <c r="W72" i="20"/>
  <c r="V72" i="20"/>
  <c r="U72" i="20"/>
  <c r="T72" i="20"/>
  <c r="S72" i="20"/>
  <c r="R72" i="20"/>
  <c r="Q72" i="20"/>
  <c r="P72" i="20"/>
  <c r="O72" i="20"/>
  <c r="N72" i="20"/>
  <c r="M72" i="20"/>
  <c r="L72" i="20"/>
  <c r="I71" i="20"/>
  <c r="G71" i="20"/>
  <c r="J69" i="20"/>
  <c r="J68" i="20"/>
  <c r="J67" i="20"/>
  <c r="H67" i="20"/>
  <c r="E67" i="20"/>
  <c r="D67" i="20"/>
  <c r="C67" i="20"/>
  <c r="J66" i="20"/>
  <c r="AM63" i="20"/>
  <c r="AL63" i="20"/>
  <c r="AK63" i="20"/>
  <c r="AJ63" i="20"/>
  <c r="AI63" i="20"/>
  <c r="AH63" i="20"/>
  <c r="AG63" i="20"/>
  <c r="AF63" i="20"/>
  <c r="AE63" i="20"/>
  <c r="AD63" i="20"/>
  <c r="AC63" i="20"/>
  <c r="AB63" i="20"/>
  <c r="AA63" i="20"/>
  <c r="Z63" i="20"/>
  <c r="Y63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I62" i="20"/>
  <c r="G62" i="20"/>
  <c r="J60" i="20"/>
  <c r="J59" i="20"/>
  <c r="J58" i="20"/>
  <c r="H58" i="20"/>
  <c r="E58" i="20"/>
  <c r="D58" i="20"/>
  <c r="C58" i="20"/>
  <c r="J57" i="20"/>
  <c r="AM54" i="20"/>
  <c r="AL54" i="20"/>
  <c r="AK54" i="20"/>
  <c r="AJ54" i="20"/>
  <c r="AI54" i="20"/>
  <c r="AH54" i="20"/>
  <c r="AG54" i="20"/>
  <c r="AF54" i="20"/>
  <c r="AE54" i="20"/>
  <c r="AD54" i="20"/>
  <c r="AC54" i="20"/>
  <c r="AB54" i="20"/>
  <c r="AA54" i="20"/>
  <c r="Z54" i="20"/>
  <c r="Y54" i="20"/>
  <c r="X54" i="20"/>
  <c r="W54" i="20"/>
  <c r="V54" i="20"/>
  <c r="U54" i="20"/>
  <c r="T54" i="20"/>
  <c r="S54" i="20"/>
  <c r="R54" i="20"/>
  <c r="Q54" i="20"/>
  <c r="P54" i="20"/>
  <c r="O54" i="20"/>
  <c r="N54" i="20"/>
  <c r="M54" i="20"/>
  <c r="L54" i="20"/>
  <c r="I53" i="20"/>
  <c r="G53" i="20"/>
  <c r="J51" i="20"/>
  <c r="J50" i="20"/>
  <c r="J49" i="20"/>
  <c r="H49" i="20"/>
  <c r="E49" i="20"/>
  <c r="D49" i="20"/>
  <c r="C49" i="20"/>
  <c r="J48" i="20"/>
  <c r="AM45" i="20"/>
  <c r="AL45" i="20"/>
  <c r="AK45" i="20"/>
  <c r="AJ45" i="20"/>
  <c r="AI45" i="20"/>
  <c r="AH45" i="20"/>
  <c r="AG45" i="20"/>
  <c r="AF45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R45" i="20"/>
  <c r="Q45" i="20"/>
  <c r="P45" i="20"/>
  <c r="O45" i="20"/>
  <c r="N45" i="20"/>
  <c r="M45" i="20"/>
  <c r="L45" i="20"/>
  <c r="I44" i="20"/>
  <c r="G44" i="20"/>
  <c r="J42" i="20"/>
  <c r="J41" i="20"/>
  <c r="J40" i="20"/>
  <c r="H40" i="20"/>
  <c r="E40" i="20"/>
  <c r="D40" i="20"/>
  <c r="C40" i="20"/>
  <c r="J39" i="20"/>
  <c r="AM36" i="20"/>
  <c r="AL36" i="20"/>
  <c r="AK36" i="20"/>
  <c r="AJ36" i="20"/>
  <c r="AI36" i="20"/>
  <c r="AH36" i="20"/>
  <c r="AG36" i="20"/>
  <c r="AF36" i="20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I35" i="20"/>
  <c r="G35" i="20"/>
  <c r="J33" i="20"/>
  <c r="J32" i="20"/>
  <c r="J31" i="20"/>
  <c r="H31" i="20"/>
  <c r="E31" i="20"/>
  <c r="D31" i="20"/>
  <c r="C31" i="20"/>
  <c r="J30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I26" i="20"/>
  <c r="G26" i="20"/>
  <c r="J24" i="20"/>
  <c r="J23" i="20"/>
  <c r="J22" i="20"/>
  <c r="H22" i="20"/>
  <c r="E22" i="20"/>
  <c r="D22" i="20"/>
  <c r="C22" i="20"/>
  <c r="J21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I17" i="20"/>
  <c r="G17" i="20"/>
  <c r="J15" i="20"/>
  <c r="J14" i="20"/>
  <c r="J13" i="20"/>
  <c r="H13" i="20"/>
  <c r="E13" i="20"/>
  <c r="D13" i="20"/>
  <c r="C13" i="20"/>
  <c r="J12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I8" i="20"/>
  <c r="G8" i="20"/>
  <c r="J6" i="20"/>
  <c r="J5" i="20"/>
  <c r="J4" i="20"/>
  <c r="H4" i="20"/>
  <c r="E4" i="20"/>
  <c r="D4" i="20"/>
  <c r="C4" i="20"/>
  <c r="J3" i="20"/>
  <c r="H11" i="19"/>
  <c r="H10" i="19"/>
  <c r="H9" i="19"/>
  <c r="H8" i="19"/>
  <c r="H7" i="19"/>
  <c r="H6" i="19"/>
  <c r="H5" i="19"/>
  <c r="H4" i="19"/>
  <c r="H3" i="19"/>
  <c r="H2" i="19"/>
  <c r="G18" i="18"/>
  <c r="H18" i="18" s="1"/>
  <c r="G15" i="18"/>
  <c r="H15" i="18" s="1"/>
  <c r="G12" i="18"/>
  <c r="H12" i="18" s="1"/>
  <c r="H9" i="18"/>
  <c r="G9" i="18"/>
  <c r="G6" i="18"/>
  <c r="H6" i="18" s="1"/>
  <c r="G3" i="18"/>
  <c r="H3" i="18" s="1"/>
  <c r="E111" i="17"/>
  <c r="D111" i="17"/>
  <c r="C111" i="17"/>
  <c r="E99" i="17"/>
  <c r="D99" i="17"/>
  <c r="C99" i="17"/>
  <c r="C94" i="17"/>
  <c r="E87" i="17"/>
  <c r="D87" i="17"/>
  <c r="C87" i="17"/>
  <c r="E75" i="17"/>
  <c r="D75" i="17"/>
  <c r="C75" i="17"/>
  <c r="E63" i="17"/>
  <c r="D63" i="17"/>
  <c r="C63" i="17"/>
  <c r="B58" i="17"/>
  <c r="E51" i="17"/>
  <c r="D51" i="17"/>
  <c r="C51" i="17"/>
  <c r="D46" i="17"/>
  <c r="E39" i="17"/>
  <c r="D39" i="17"/>
  <c r="C39" i="17"/>
  <c r="E27" i="17"/>
  <c r="D27" i="17"/>
  <c r="C27" i="17"/>
  <c r="E15" i="17"/>
  <c r="D15" i="17"/>
  <c r="C15" i="17"/>
  <c r="E3" i="17"/>
  <c r="D3" i="17"/>
  <c r="C3" i="17"/>
  <c r="E111" i="16"/>
  <c r="D111" i="16"/>
  <c r="C111" i="16"/>
  <c r="E99" i="16"/>
  <c r="D99" i="16"/>
  <c r="C99" i="16"/>
  <c r="E87" i="16"/>
  <c r="D87" i="16"/>
  <c r="C87" i="16"/>
  <c r="E75" i="16"/>
  <c r="D75" i="16"/>
  <c r="C75" i="16"/>
  <c r="B75" i="16"/>
  <c r="J76" i="16" s="1"/>
  <c r="E63" i="16"/>
  <c r="D63" i="16"/>
  <c r="C63" i="16"/>
  <c r="E51" i="16"/>
  <c r="D51" i="16"/>
  <c r="C51" i="16"/>
  <c r="D46" i="16"/>
  <c r="B46" i="16"/>
  <c r="E39" i="16"/>
  <c r="D39" i="16"/>
  <c r="C39" i="16"/>
  <c r="E27" i="16"/>
  <c r="D27" i="16"/>
  <c r="C27" i="16"/>
  <c r="C22" i="16"/>
  <c r="B22" i="16"/>
  <c r="E15" i="16"/>
  <c r="D15" i="16"/>
  <c r="C15" i="16"/>
  <c r="E3" i="16"/>
  <c r="D3" i="16"/>
  <c r="C3" i="16"/>
  <c r="G114" i="15"/>
  <c r="K111" i="15"/>
  <c r="E111" i="15"/>
  <c r="D111" i="15"/>
  <c r="C111" i="15"/>
  <c r="G108" i="15"/>
  <c r="F108" i="15"/>
  <c r="H108" i="15" s="1"/>
  <c r="G105" i="15"/>
  <c r="G102" i="15"/>
  <c r="G101" i="15"/>
  <c r="E99" i="15"/>
  <c r="D99" i="15"/>
  <c r="C99" i="15"/>
  <c r="G96" i="15"/>
  <c r="G95" i="15"/>
  <c r="G94" i="15"/>
  <c r="D94" i="15"/>
  <c r="F93" i="15"/>
  <c r="G90" i="15"/>
  <c r="K89" i="15"/>
  <c r="G89" i="15"/>
  <c r="K88" i="15"/>
  <c r="K87" i="15"/>
  <c r="E87" i="15"/>
  <c r="D87" i="15"/>
  <c r="F96" i="15" s="1"/>
  <c r="C87" i="15"/>
  <c r="B87" i="15"/>
  <c r="F84" i="15"/>
  <c r="F83" i="15"/>
  <c r="F82" i="15"/>
  <c r="J77" i="15"/>
  <c r="J76" i="15"/>
  <c r="J75" i="15"/>
  <c r="E75" i="15"/>
  <c r="D75" i="15"/>
  <c r="C75" i="15"/>
  <c r="F81" i="15" s="1"/>
  <c r="F71" i="15"/>
  <c r="G70" i="15"/>
  <c r="F70" i="15"/>
  <c r="F69" i="15"/>
  <c r="K63" i="15"/>
  <c r="E63" i="15"/>
  <c r="D63" i="15"/>
  <c r="C63" i="15"/>
  <c r="G60" i="15"/>
  <c r="G59" i="15"/>
  <c r="G58" i="15"/>
  <c r="C58" i="15"/>
  <c r="G57" i="15"/>
  <c r="G54" i="15"/>
  <c r="K53" i="15"/>
  <c r="G53" i="15"/>
  <c r="K52" i="15"/>
  <c r="G52" i="15"/>
  <c r="K51" i="15"/>
  <c r="E51" i="15"/>
  <c r="D51" i="15"/>
  <c r="C51" i="15"/>
  <c r="F48" i="15"/>
  <c r="D46" i="15"/>
  <c r="C46" i="15"/>
  <c r="B46" i="15"/>
  <c r="F45" i="15"/>
  <c r="E39" i="15"/>
  <c r="D39" i="15"/>
  <c r="C39" i="15"/>
  <c r="G36" i="15"/>
  <c r="H36" i="15" s="1"/>
  <c r="F36" i="15"/>
  <c r="H33" i="15"/>
  <c r="G33" i="15"/>
  <c r="J30" i="15"/>
  <c r="K29" i="15"/>
  <c r="J29" i="15"/>
  <c r="G29" i="15"/>
  <c r="K28" i="15"/>
  <c r="J28" i="15"/>
  <c r="E27" i="15"/>
  <c r="D27" i="15"/>
  <c r="C27" i="15"/>
  <c r="F33" i="15" s="1"/>
  <c r="G24" i="15"/>
  <c r="G23" i="15"/>
  <c r="F23" i="15"/>
  <c r="G22" i="15"/>
  <c r="F22" i="15"/>
  <c r="H22" i="15" s="1"/>
  <c r="J18" i="15"/>
  <c r="G18" i="15"/>
  <c r="K17" i="15"/>
  <c r="G17" i="15"/>
  <c r="K16" i="15"/>
  <c r="G16" i="15"/>
  <c r="K15" i="15"/>
  <c r="E15" i="15"/>
  <c r="D15" i="15"/>
  <c r="C15" i="15"/>
  <c r="E3" i="15"/>
  <c r="G5" i="15" s="1"/>
  <c r="D3" i="15"/>
  <c r="C3" i="15"/>
  <c r="C120" i="14"/>
  <c r="C119" i="14"/>
  <c r="C118" i="14"/>
  <c r="D117" i="14"/>
  <c r="C117" i="14"/>
  <c r="F114" i="14"/>
  <c r="F113" i="14"/>
  <c r="F111" i="14"/>
  <c r="J111" i="14" s="1"/>
  <c r="E111" i="14"/>
  <c r="D111" i="14"/>
  <c r="C111" i="14"/>
  <c r="F112" i="14" s="1"/>
  <c r="E108" i="14"/>
  <c r="E106" i="14"/>
  <c r="D106" i="14"/>
  <c r="C106" i="14"/>
  <c r="G100" i="14" s="1"/>
  <c r="K100" i="14" s="1"/>
  <c r="E105" i="14"/>
  <c r="D105" i="14"/>
  <c r="C105" i="14"/>
  <c r="F102" i="14"/>
  <c r="F100" i="14"/>
  <c r="F99" i="14"/>
  <c r="E99" i="14"/>
  <c r="D99" i="14"/>
  <c r="C99" i="14"/>
  <c r="F101" i="14" s="1"/>
  <c r="J101" i="14" s="1"/>
  <c r="D93" i="14"/>
  <c r="B92" i="14"/>
  <c r="F90" i="14"/>
  <c r="J89" i="14"/>
  <c r="F89" i="14"/>
  <c r="E87" i="14"/>
  <c r="D87" i="14"/>
  <c r="C87" i="14"/>
  <c r="E75" i="14"/>
  <c r="D75" i="14"/>
  <c r="C75" i="14"/>
  <c r="E72" i="14"/>
  <c r="D72" i="14"/>
  <c r="C72" i="14"/>
  <c r="E71" i="14"/>
  <c r="C71" i="14"/>
  <c r="E70" i="14"/>
  <c r="D70" i="14"/>
  <c r="E69" i="14"/>
  <c r="D69" i="14"/>
  <c r="G66" i="14"/>
  <c r="K66" i="14" s="1"/>
  <c r="F66" i="14"/>
  <c r="G65" i="14"/>
  <c r="K65" i="14" s="1"/>
  <c r="F65" i="14"/>
  <c r="E63" i="14"/>
  <c r="D63" i="14"/>
  <c r="D71" i="14" s="1"/>
  <c r="C63" i="14"/>
  <c r="E60" i="14"/>
  <c r="D60" i="14"/>
  <c r="C60" i="14"/>
  <c r="G54" i="14" s="1"/>
  <c r="E59" i="14"/>
  <c r="D59" i="14"/>
  <c r="C59" i="14"/>
  <c r="G53" i="14" s="1"/>
  <c r="K53" i="14" s="1"/>
  <c r="E58" i="14"/>
  <c r="D58" i="14"/>
  <c r="C58" i="14"/>
  <c r="C57" i="14"/>
  <c r="G51" i="14" s="1"/>
  <c r="K51" i="14" s="1"/>
  <c r="K54" i="14"/>
  <c r="J54" i="14"/>
  <c r="F54" i="14"/>
  <c r="F53" i="14"/>
  <c r="J52" i="14"/>
  <c r="H51" i="14"/>
  <c r="I51" i="14" s="1"/>
  <c r="F51" i="14"/>
  <c r="J51" i="14" s="1"/>
  <c r="E51" i="14"/>
  <c r="E57" i="14" s="1"/>
  <c r="D51" i="14"/>
  <c r="D57" i="14" s="1"/>
  <c r="C51" i="14"/>
  <c r="F52" i="14" s="1"/>
  <c r="C48" i="14"/>
  <c r="E46" i="14"/>
  <c r="C46" i="14"/>
  <c r="F41" i="14"/>
  <c r="J41" i="14" s="1"/>
  <c r="F40" i="14"/>
  <c r="F39" i="14"/>
  <c r="E39" i="14"/>
  <c r="D39" i="14"/>
  <c r="C39" i="14"/>
  <c r="F42" i="14" s="1"/>
  <c r="F28" i="14"/>
  <c r="E27" i="14"/>
  <c r="D27" i="14"/>
  <c r="C27" i="14"/>
  <c r="E23" i="14"/>
  <c r="C23" i="14"/>
  <c r="C22" i="14"/>
  <c r="E21" i="14"/>
  <c r="D21" i="14"/>
  <c r="F18" i="14"/>
  <c r="J18" i="14" s="1"/>
  <c r="F17" i="14"/>
  <c r="F16" i="14"/>
  <c r="J16" i="14" s="1"/>
  <c r="F15" i="14"/>
  <c r="E15" i="14"/>
  <c r="D15" i="14"/>
  <c r="C15" i="14"/>
  <c r="E3" i="14"/>
  <c r="C11" i="14" s="1"/>
  <c r="D3" i="14"/>
  <c r="D12" i="14" s="1"/>
  <c r="C3" i="14"/>
  <c r="K111" i="13"/>
  <c r="J111" i="13"/>
  <c r="E111" i="13"/>
  <c r="D111" i="13"/>
  <c r="C111" i="13"/>
  <c r="J102" i="13"/>
  <c r="J101" i="13"/>
  <c r="J99" i="13"/>
  <c r="E99" i="13"/>
  <c r="D99" i="13"/>
  <c r="C99" i="13"/>
  <c r="J100" i="13" s="1"/>
  <c r="K90" i="13"/>
  <c r="J90" i="13"/>
  <c r="J89" i="13"/>
  <c r="K88" i="13"/>
  <c r="J88" i="13"/>
  <c r="K87" i="13"/>
  <c r="J87" i="13"/>
  <c r="E87" i="13"/>
  <c r="D87" i="13"/>
  <c r="K89" i="13" s="1"/>
  <c r="C87" i="13"/>
  <c r="J76" i="13"/>
  <c r="E75" i="13"/>
  <c r="D75" i="13"/>
  <c r="C75" i="13"/>
  <c r="J66" i="13"/>
  <c r="K65" i="13"/>
  <c r="J65" i="13"/>
  <c r="J64" i="13"/>
  <c r="E63" i="13"/>
  <c r="D63" i="13"/>
  <c r="C63" i="13"/>
  <c r="K54" i="13"/>
  <c r="K53" i="13"/>
  <c r="J53" i="13"/>
  <c r="K52" i="13"/>
  <c r="J52" i="13"/>
  <c r="K51" i="13"/>
  <c r="E51" i="13"/>
  <c r="D51" i="13"/>
  <c r="C51" i="13"/>
  <c r="J39" i="13"/>
  <c r="E39" i="13"/>
  <c r="D39" i="13"/>
  <c r="C39" i="13"/>
  <c r="J42" i="13" s="1"/>
  <c r="B39" i="13"/>
  <c r="F40" i="13" s="1"/>
  <c r="K27" i="13"/>
  <c r="E27" i="13"/>
  <c r="D27" i="13"/>
  <c r="C27" i="13"/>
  <c r="K15" i="13"/>
  <c r="E15" i="13"/>
  <c r="D15" i="13"/>
  <c r="C15" i="13"/>
  <c r="E3" i="13"/>
  <c r="D3" i="13"/>
  <c r="K6" i="13" s="1"/>
  <c r="C3" i="13"/>
  <c r="J4" i="13" s="1"/>
  <c r="E111" i="12"/>
  <c r="D111" i="12"/>
  <c r="C111" i="12"/>
  <c r="E99" i="12"/>
  <c r="D99" i="12"/>
  <c r="C99" i="12"/>
  <c r="G87" i="12"/>
  <c r="K87" i="12" s="1"/>
  <c r="E87" i="12"/>
  <c r="D87" i="12"/>
  <c r="C87" i="12"/>
  <c r="B87" i="12"/>
  <c r="F88" i="12" s="1"/>
  <c r="E75" i="12"/>
  <c r="D75" i="12"/>
  <c r="C75" i="12"/>
  <c r="E63" i="12"/>
  <c r="D63" i="12"/>
  <c r="C63" i="12"/>
  <c r="B56" i="12"/>
  <c r="E51" i="12"/>
  <c r="D51" i="12"/>
  <c r="C51" i="12"/>
  <c r="B44" i="12"/>
  <c r="E39" i="12"/>
  <c r="D39" i="12"/>
  <c r="C39" i="12"/>
  <c r="E27" i="12"/>
  <c r="D27" i="12"/>
  <c r="C27" i="12"/>
  <c r="E15" i="12"/>
  <c r="D15" i="12"/>
  <c r="C15" i="12"/>
  <c r="E3" i="12"/>
  <c r="D3" i="12"/>
  <c r="C3" i="12"/>
  <c r="E111" i="11"/>
  <c r="D111" i="11"/>
  <c r="C111" i="11"/>
  <c r="E99" i="11"/>
  <c r="D99" i="11"/>
  <c r="C99" i="11"/>
  <c r="E87" i="11"/>
  <c r="D87" i="11"/>
  <c r="C87" i="11"/>
  <c r="E75" i="11"/>
  <c r="D75" i="11"/>
  <c r="C75" i="11"/>
  <c r="E63" i="11"/>
  <c r="D63" i="11"/>
  <c r="C63" i="11"/>
  <c r="E51" i="11"/>
  <c r="D51" i="11"/>
  <c r="C51" i="11"/>
  <c r="E39" i="11"/>
  <c r="D39" i="11"/>
  <c r="C39" i="11"/>
  <c r="E27" i="11"/>
  <c r="D27" i="11"/>
  <c r="C27" i="11"/>
  <c r="E15" i="11"/>
  <c r="D15" i="11"/>
  <c r="C15" i="11"/>
  <c r="E3" i="11"/>
  <c r="D3" i="11"/>
  <c r="C3" i="11"/>
  <c r="M120" i="10"/>
  <c r="L120" i="10"/>
  <c r="E120" i="10"/>
  <c r="D120" i="10"/>
  <c r="C120" i="10"/>
  <c r="B120" i="10"/>
  <c r="M119" i="10"/>
  <c r="F119" i="10"/>
  <c r="C119" i="10"/>
  <c r="M117" i="10"/>
  <c r="F117" i="10"/>
  <c r="E117" i="10"/>
  <c r="C117" i="10"/>
  <c r="E111" i="10"/>
  <c r="D111" i="10"/>
  <c r="C111" i="10"/>
  <c r="M118" i="10" s="1"/>
  <c r="N108" i="10"/>
  <c r="M108" i="10"/>
  <c r="L108" i="10"/>
  <c r="F102" i="10" s="1"/>
  <c r="F108" i="10"/>
  <c r="D108" i="10"/>
  <c r="C108" i="10"/>
  <c r="B108" i="10"/>
  <c r="N107" i="10"/>
  <c r="M107" i="10"/>
  <c r="L107" i="10"/>
  <c r="F107" i="10"/>
  <c r="E107" i="10"/>
  <c r="D107" i="10"/>
  <c r="B107" i="10"/>
  <c r="L106" i="10"/>
  <c r="F100" i="10" s="1"/>
  <c r="H100" i="10" s="1"/>
  <c r="I100" i="10" s="1"/>
  <c r="F106" i="10"/>
  <c r="E106" i="10"/>
  <c r="D106" i="10"/>
  <c r="C106" i="10"/>
  <c r="B106" i="10"/>
  <c r="N105" i="10"/>
  <c r="M105" i="10"/>
  <c r="L105" i="10"/>
  <c r="F99" i="10" s="1"/>
  <c r="F105" i="10"/>
  <c r="E105" i="10"/>
  <c r="D105" i="10"/>
  <c r="C105" i="10"/>
  <c r="B105" i="10"/>
  <c r="F101" i="10"/>
  <c r="J101" i="10" s="1"/>
  <c r="J100" i="10"/>
  <c r="G100" i="10"/>
  <c r="K100" i="10" s="1"/>
  <c r="E99" i="10"/>
  <c r="N106" i="10" s="1"/>
  <c r="D99" i="10"/>
  <c r="C99" i="10"/>
  <c r="M106" i="10" s="1"/>
  <c r="N96" i="10"/>
  <c r="L96" i="10"/>
  <c r="F96" i="10"/>
  <c r="E96" i="10"/>
  <c r="D96" i="10"/>
  <c r="G90" i="10" s="1"/>
  <c r="K90" i="10" s="1"/>
  <c r="C96" i="10"/>
  <c r="B96" i="10"/>
  <c r="N95" i="10"/>
  <c r="M95" i="10"/>
  <c r="L95" i="10"/>
  <c r="E95" i="10"/>
  <c r="D95" i="10"/>
  <c r="C95" i="10"/>
  <c r="B95" i="10"/>
  <c r="N94" i="10"/>
  <c r="F94" i="10"/>
  <c r="E94" i="10"/>
  <c r="D94" i="10"/>
  <c r="C94" i="10"/>
  <c r="G88" i="10" s="1"/>
  <c r="K88" i="10" s="1"/>
  <c r="B94" i="10"/>
  <c r="N93" i="10"/>
  <c r="L93" i="10"/>
  <c r="F93" i="10"/>
  <c r="E93" i="10"/>
  <c r="D93" i="10"/>
  <c r="C93" i="10"/>
  <c r="B93" i="10"/>
  <c r="E87" i="10"/>
  <c r="L94" i="10" s="1"/>
  <c r="D87" i="10"/>
  <c r="C87" i="10"/>
  <c r="M84" i="10"/>
  <c r="F84" i="10"/>
  <c r="E84" i="10"/>
  <c r="D84" i="10"/>
  <c r="B84" i="10"/>
  <c r="M83" i="10"/>
  <c r="L83" i="10"/>
  <c r="F83" i="10"/>
  <c r="E83" i="10"/>
  <c r="D83" i="10"/>
  <c r="B83" i="10"/>
  <c r="N82" i="10"/>
  <c r="M82" i="10"/>
  <c r="F82" i="10"/>
  <c r="N81" i="10"/>
  <c r="M81" i="10"/>
  <c r="L81" i="10"/>
  <c r="F75" i="10" s="1"/>
  <c r="F81" i="10"/>
  <c r="D81" i="10"/>
  <c r="B81" i="10"/>
  <c r="E75" i="10"/>
  <c r="D75" i="10"/>
  <c r="C75" i="10"/>
  <c r="N72" i="10"/>
  <c r="E63" i="10"/>
  <c r="D63" i="10"/>
  <c r="C63" i="10"/>
  <c r="M60" i="10"/>
  <c r="E60" i="10"/>
  <c r="C60" i="10"/>
  <c r="C59" i="10"/>
  <c r="B59" i="10"/>
  <c r="N58" i="10"/>
  <c r="M58" i="10"/>
  <c r="C58" i="10"/>
  <c r="N57" i="10"/>
  <c r="M57" i="10"/>
  <c r="L57" i="10"/>
  <c r="F57" i="10"/>
  <c r="D57" i="10"/>
  <c r="F51" i="10"/>
  <c r="E51" i="10"/>
  <c r="L60" i="10" s="1"/>
  <c r="D51" i="10"/>
  <c r="C51" i="10"/>
  <c r="M59" i="10" s="1"/>
  <c r="F48" i="10"/>
  <c r="E48" i="10"/>
  <c r="G42" i="10" s="1"/>
  <c r="K42" i="10" s="1"/>
  <c r="D48" i="10"/>
  <c r="B48" i="10"/>
  <c r="N47" i="10"/>
  <c r="M47" i="10"/>
  <c r="L47" i="10"/>
  <c r="F41" i="10" s="1"/>
  <c r="E47" i="10"/>
  <c r="C47" i="10"/>
  <c r="B47" i="10"/>
  <c r="N46" i="10"/>
  <c r="M46" i="10"/>
  <c r="L46" i="10"/>
  <c r="F46" i="10"/>
  <c r="E46" i="10"/>
  <c r="C46" i="10"/>
  <c r="B46" i="10"/>
  <c r="C45" i="10"/>
  <c r="B45" i="10"/>
  <c r="F40" i="10"/>
  <c r="E39" i="10"/>
  <c r="N48" i="10" s="1"/>
  <c r="D39" i="10"/>
  <c r="C48" i="10" s="1"/>
  <c r="C39" i="10"/>
  <c r="M48" i="10" s="1"/>
  <c r="N36" i="10"/>
  <c r="M36" i="10"/>
  <c r="F36" i="10"/>
  <c r="E36" i="10"/>
  <c r="D36" i="10"/>
  <c r="C36" i="10"/>
  <c r="G30" i="10" s="1"/>
  <c r="B36" i="10"/>
  <c r="N35" i="10"/>
  <c r="M35" i="10"/>
  <c r="L35" i="10"/>
  <c r="F35" i="10"/>
  <c r="F34" i="10"/>
  <c r="E34" i="10"/>
  <c r="D34" i="10"/>
  <c r="F33" i="10"/>
  <c r="E33" i="10"/>
  <c r="D33" i="10"/>
  <c r="C33" i="10"/>
  <c r="B33" i="10"/>
  <c r="E27" i="10"/>
  <c r="D27" i="10"/>
  <c r="C34" i="10" s="1"/>
  <c r="C27" i="10"/>
  <c r="N24" i="10"/>
  <c r="M24" i="10"/>
  <c r="F24" i="10"/>
  <c r="D24" i="10"/>
  <c r="C24" i="10"/>
  <c r="N23" i="10"/>
  <c r="F23" i="10"/>
  <c r="E23" i="10"/>
  <c r="D23" i="10"/>
  <c r="C23" i="10"/>
  <c r="B23" i="10"/>
  <c r="N22" i="10"/>
  <c r="M22" i="10"/>
  <c r="L22" i="10"/>
  <c r="F22" i="10"/>
  <c r="E22" i="10"/>
  <c r="D22" i="10"/>
  <c r="C22" i="10"/>
  <c r="N21" i="10"/>
  <c r="L21" i="10"/>
  <c r="E21" i="10"/>
  <c r="D21" i="10"/>
  <c r="C21" i="10"/>
  <c r="B21" i="10"/>
  <c r="G17" i="10"/>
  <c r="K17" i="10" s="1"/>
  <c r="E15" i="10"/>
  <c r="D15" i="10"/>
  <c r="E24" i="10" s="1"/>
  <c r="C15" i="10"/>
  <c r="E3" i="10"/>
  <c r="D3" i="10"/>
  <c r="E11" i="10" s="1"/>
  <c r="C3" i="10"/>
  <c r="M10" i="10" s="1"/>
  <c r="N120" i="9"/>
  <c r="L120" i="9"/>
  <c r="F120" i="9"/>
  <c r="D120" i="9"/>
  <c r="N119" i="9"/>
  <c r="L119" i="9"/>
  <c r="B119" i="9"/>
  <c r="N118" i="9"/>
  <c r="M118" i="9"/>
  <c r="L118" i="9"/>
  <c r="F118" i="9"/>
  <c r="E118" i="9"/>
  <c r="D118" i="9"/>
  <c r="B118" i="9"/>
  <c r="N117" i="9"/>
  <c r="M117" i="9"/>
  <c r="L117" i="9"/>
  <c r="F111" i="9" s="1"/>
  <c r="F117" i="9"/>
  <c r="E111" i="9"/>
  <c r="D111" i="9"/>
  <c r="C111" i="9"/>
  <c r="N108" i="9"/>
  <c r="F108" i="9"/>
  <c r="E108" i="9"/>
  <c r="D108" i="9"/>
  <c r="C108" i="9"/>
  <c r="B108" i="9"/>
  <c r="G102" i="9" s="1"/>
  <c r="K102" i="9" s="1"/>
  <c r="N107" i="9"/>
  <c r="F107" i="9"/>
  <c r="E107" i="9"/>
  <c r="D107" i="9"/>
  <c r="C107" i="9"/>
  <c r="N106" i="9"/>
  <c r="L106" i="9"/>
  <c r="F106" i="9"/>
  <c r="E106" i="9"/>
  <c r="D106" i="9"/>
  <c r="C106" i="9"/>
  <c r="B106" i="9"/>
  <c r="N105" i="9"/>
  <c r="E105" i="9"/>
  <c r="B105" i="9"/>
  <c r="E99" i="9"/>
  <c r="D99" i="9"/>
  <c r="C105" i="9" s="1"/>
  <c r="C99" i="9"/>
  <c r="M96" i="9"/>
  <c r="F96" i="9"/>
  <c r="N95" i="9"/>
  <c r="B95" i="9"/>
  <c r="M94" i="9"/>
  <c r="L94" i="9"/>
  <c r="F93" i="9"/>
  <c r="C93" i="9"/>
  <c r="E87" i="9"/>
  <c r="L96" i="9" s="1"/>
  <c r="D87" i="9"/>
  <c r="C87" i="9"/>
  <c r="M93" i="9" s="1"/>
  <c r="N84" i="9"/>
  <c r="F84" i="9"/>
  <c r="C84" i="9"/>
  <c r="N83" i="9"/>
  <c r="M83" i="9"/>
  <c r="L83" i="9"/>
  <c r="F77" i="9" s="1"/>
  <c r="J77" i="9" s="1"/>
  <c r="F83" i="9"/>
  <c r="D83" i="9"/>
  <c r="C83" i="9"/>
  <c r="B83" i="9"/>
  <c r="N82" i="9"/>
  <c r="L82" i="9"/>
  <c r="F82" i="9"/>
  <c r="D82" i="9"/>
  <c r="C82" i="9"/>
  <c r="N81" i="9"/>
  <c r="L81" i="9"/>
  <c r="F81" i="9"/>
  <c r="E81" i="9"/>
  <c r="E75" i="9"/>
  <c r="D75" i="9"/>
  <c r="C75" i="9"/>
  <c r="N72" i="9"/>
  <c r="M72" i="9"/>
  <c r="L72" i="9"/>
  <c r="B72" i="9"/>
  <c r="L71" i="9"/>
  <c r="B71" i="9"/>
  <c r="N70" i="9"/>
  <c r="F70" i="9"/>
  <c r="D70" i="9"/>
  <c r="C70" i="9"/>
  <c r="M69" i="9"/>
  <c r="E63" i="9"/>
  <c r="N69" i="9" s="1"/>
  <c r="D63" i="9"/>
  <c r="C63" i="9"/>
  <c r="N60" i="9"/>
  <c r="M60" i="9"/>
  <c r="E60" i="9"/>
  <c r="C60" i="9"/>
  <c r="L59" i="9"/>
  <c r="F59" i="9"/>
  <c r="E59" i="9"/>
  <c r="C59" i="9"/>
  <c r="B59" i="9"/>
  <c r="N58" i="9"/>
  <c r="M58" i="9"/>
  <c r="L58" i="9"/>
  <c r="F52" i="9" s="1"/>
  <c r="F58" i="9"/>
  <c r="E58" i="9"/>
  <c r="D58" i="9"/>
  <c r="C58" i="9"/>
  <c r="G52" i="9" s="1"/>
  <c r="K52" i="9" s="1"/>
  <c r="B58" i="9"/>
  <c r="N57" i="9"/>
  <c r="M57" i="9"/>
  <c r="L57" i="9"/>
  <c r="F51" i="9" s="1"/>
  <c r="E57" i="9"/>
  <c r="C57" i="9"/>
  <c r="J51" i="9"/>
  <c r="E51" i="9"/>
  <c r="B57" i="9" s="1"/>
  <c r="D51" i="9"/>
  <c r="C51" i="9"/>
  <c r="M59" i="9" s="1"/>
  <c r="F48" i="9"/>
  <c r="E48" i="9"/>
  <c r="D48" i="9"/>
  <c r="F47" i="9"/>
  <c r="E47" i="9"/>
  <c r="D47" i="9"/>
  <c r="C47" i="9"/>
  <c r="B47" i="9"/>
  <c r="F46" i="9"/>
  <c r="F45" i="9"/>
  <c r="E39" i="9"/>
  <c r="L45" i="9" s="1"/>
  <c r="D39" i="9"/>
  <c r="C39" i="9"/>
  <c r="B36" i="9"/>
  <c r="M34" i="9"/>
  <c r="L34" i="9"/>
  <c r="F34" i="9"/>
  <c r="E34" i="9"/>
  <c r="D34" i="9"/>
  <c r="C34" i="9"/>
  <c r="B34" i="9"/>
  <c r="G28" i="9" s="1"/>
  <c r="K28" i="9" s="1"/>
  <c r="N33" i="9"/>
  <c r="B33" i="9"/>
  <c r="E27" i="9"/>
  <c r="D27" i="9"/>
  <c r="C33" i="9" s="1"/>
  <c r="C27" i="9"/>
  <c r="N24" i="9"/>
  <c r="M24" i="9"/>
  <c r="L24" i="9"/>
  <c r="F24" i="9"/>
  <c r="D24" i="9"/>
  <c r="C24" i="9"/>
  <c r="B24" i="9"/>
  <c r="N23" i="9"/>
  <c r="F23" i="9"/>
  <c r="D23" i="9"/>
  <c r="B23" i="9"/>
  <c r="N22" i="9"/>
  <c r="M22" i="9"/>
  <c r="L22" i="9"/>
  <c r="F16" i="9" s="1"/>
  <c r="F22" i="9"/>
  <c r="E22" i="9"/>
  <c r="D22" i="9"/>
  <c r="C22" i="9"/>
  <c r="B22" i="9"/>
  <c r="N21" i="9"/>
  <c r="M21" i="9"/>
  <c r="F15" i="9" s="1"/>
  <c r="L21" i="9"/>
  <c r="F21" i="9"/>
  <c r="D21" i="9"/>
  <c r="F18" i="9"/>
  <c r="J16" i="9"/>
  <c r="E15" i="9"/>
  <c r="D15" i="9"/>
  <c r="C15" i="9"/>
  <c r="M23" i="9" s="1"/>
  <c r="M11" i="9"/>
  <c r="E3" i="9"/>
  <c r="N12" i="9" s="1"/>
  <c r="D3" i="9"/>
  <c r="C11" i="9" s="1"/>
  <c r="C3" i="9"/>
  <c r="M10" i="9" s="1"/>
  <c r="C120" i="8"/>
  <c r="G119" i="8"/>
  <c r="D119" i="8"/>
  <c r="C119" i="8"/>
  <c r="B119" i="8"/>
  <c r="G113" i="8" s="1"/>
  <c r="D118" i="8"/>
  <c r="C118" i="8"/>
  <c r="D117" i="8"/>
  <c r="C117" i="8"/>
  <c r="B117" i="8"/>
  <c r="K114" i="8"/>
  <c r="K112" i="8"/>
  <c r="J112" i="8"/>
  <c r="L111" i="8"/>
  <c r="K111" i="8"/>
  <c r="J111" i="8"/>
  <c r="E111" i="8"/>
  <c r="D111" i="8"/>
  <c r="C111" i="8"/>
  <c r="C108" i="8"/>
  <c r="B108" i="8"/>
  <c r="D107" i="8"/>
  <c r="C107" i="8"/>
  <c r="D106" i="8"/>
  <c r="C106" i="8"/>
  <c r="B106" i="8"/>
  <c r="K100" i="8"/>
  <c r="J100" i="8"/>
  <c r="L99" i="8"/>
  <c r="E99" i="8"/>
  <c r="C105" i="8" s="1"/>
  <c r="D99" i="8"/>
  <c r="C99" i="8"/>
  <c r="D96" i="8"/>
  <c r="B96" i="8"/>
  <c r="G96" i="8" s="1"/>
  <c r="D95" i="8"/>
  <c r="C95" i="8"/>
  <c r="B95" i="8"/>
  <c r="C94" i="8"/>
  <c r="D93" i="8"/>
  <c r="C93" i="8"/>
  <c r="K89" i="8"/>
  <c r="J89" i="8"/>
  <c r="J88" i="8"/>
  <c r="L87" i="8"/>
  <c r="K87" i="8"/>
  <c r="J87" i="8"/>
  <c r="E87" i="8"/>
  <c r="C96" i="8" s="1"/>
  <c r="D87" i="8"/>
  <c r="C87" i="8"/>
  <c r="D84" i="8"/>
  <c r="C84" i="8"/>
  <c r="C83" i="8"/>
  <c r="D82" i="8"/>
  <c r="C82" i="8"/>
  <c r="B82" i="8"/>
  <c r="K78" i="8"/>
  <c r="K77" i="8"/>
  <c r="J77" i="8"/>
  <c r="K76" i="8"/>
  <c r="J76" i="8"/>
  <c r="L75" i="8"/>
  <c r="K75" i="8"/>
  <c r="J75" i="8"/>
  <c r="E75" i="8"/>
  <c r="C81" i="8" s="1"/>
  <c r="D75" i="8"/>
  <c r="C75" i="8"/>
  <c r="J78" i="8" s="1"/>
  <c r="C72" i="8"/>
  <c r="B72" i="8"/>
  <c r="D71" i="8"/>
  <c r="G71" i="8" s="1"/>
  <c r="C71" i="8"/>
  <c r="D70" i="8"/>
  <c r="B70" i="8"/>
  <c r="G70" i="8" s="1"/>
  <c r="D69" i="8"/>
  <c r="B69" i="8"/>
  <c r="K66" i="8"/>
  <c r="K65" i="8"/>
  <c r="J65" i="8"/>
  <c r="G65" i="8"/>
  <c r="K64" i="8"/>
  <c r="J64" i="8"/>
  <c r="G64" i="8"/>
  <c r="L63" i="8"/>
  <c r="K63" i="8"/>
  <c r="E63" i="8"/>
  <c r="C70" i="8" s="1"/>
  <c r="D63" i="8"/>
  <c r="B71" i="8" s="1"/>
  <c r="C63" i="8"/>
  <c r="G60" i="8"/>
  <c r="H60" i="8"/>
  <c r="D60" i="8"/>
  <c r="B60" i="8"/>
  <c r="D59" i="8"/>
  <c r="C59" i="8"/>
  <c r="B59" i="8"/>
  <c r="H58" i="8"/>
  <c r="D58" i="8"/>
  <c r="G58" i="8" s="1"/>
  <c r="C58" i="8"/>
  <c r="B58" i="8"/>
  <c r="D57" i="8"/>
  <c r="C57" i="8"/>
  <c r="B57" i="8"/>
  <c r="K54" i="8"/>
  <c r="G54" i="8"/>
  <c r="K53" i="8"/>
  <c r="J53" i="8"/>
  <c r="K52" i="8"/>
  <c r="J52" i="8"/>
  <c r="G52" i="8"/>
  <c r="L51" i="8"/>
  <c r="K51" i="8"/>
  <c r="E51" i="8"/>
  <c r="C60" i="8" s="1"/>
  <c r="D51" i="8"/>
  <c r="C51" i="8"/>
  <c r="D48" i="8"/>
  <c r="D47" i="8"/>
  <c r="B47" i="8"/>
  <c r="D45" i="8"/>
  <c r="C45" i="8"/>
  <c r="B45" i="8"/>
  <c r="J42" i="8"/>
  <c r="J41" i="8"/>
  <c r="E39" i="8"/>
  <c r="D39" i="8"/>
  <c r="C39" i="8"/>
  <c r="D33" i="8"/>
  <c r="C33" i="8"/>
  <c r="B33" i="8"/>
  <c r="K30" i="8"/>
  <c r="J30" i="8"/>
  <c r="E27" i="8"/>
  <c r="D27" i="8"/>
  <c r="C27" i="8"/>
  <c r="B24" i="8"/>
  <c r="D23" i="8"/>
  <c r="C23" i="8"/>
  <c r="B23" i="8"/>
  <c r="G23" i="8" s="1"/>
  <c r="G22" i="8"/>
  <c r="D22" i="8"/>
  <c r="C22" i="8"/>
  <c r="B22" i="8"/>
  <c r="G16" i="8" s="1"/>
  <c r="G21" i="8"/>
  <c r="D21" i="8"/>
  <c r="C21" i="8"/>
  <c r="B21" i="8"/>
  <c r="K18" i="8"/>
  <c r="K17" i="8"/>
  <c r="J17" i="8"/>
  <c r="K16" i="8"/>
  <c r="J16" i="8"/>
  <c r="K15" i="8"/>
  <c r="G15" i="8"/>
  <c r="E15" i="8"/>
  <c r="D15" i="8"/>
  <c r="D24" i="8" s="1"/>
  <c r="C15" i="8"/>
  <c r="E3" i="8"/>
  <c r="C11" i="8" s="1"/>
  <c r="D3" i="8"/>
  <c r="B10" i="8" s="1"/>
  <c r="C3" i="8"/>
  <c r="C120" i="7"/>
  <c r="C119" i="7"/>
  <c r="B119" i="7"/>
  <c r="C118" i="7"/>
  <c r="C117" i="7"/>
  <c r="B117" i="7"/>
  <c r="K114" i="7"/>
  <c r="K113" i="7"/>
  <c r="E111" i="7"/>
  <c r="D111" i="7"/>
  <c r="B120" i="7" s="1"/>
  <c r="C111" i="7"/>
  <c r="C108" i="7"/>
  <c r="B108" i="7"/>
  <c r="G102" i="7" s="1"/>
  <c r="G107" i="7"/>
  <c r="C107" i="7"/>
  <c r="B107" i="7"/>
  <c r="C106" i="7"/>
  <c r="G106" i="7" s="1"/>
  <c r="K102" i="7"/>
  <c r="J102" i="7"/>
  <c r="K101" i="7"/>
  <c r="J101" i="7"/>
  <c r="G101" i="7"/>
  <c r="K100" i="7"/>
  <c r="J100" i="7"/>
  <c r="J99" i="7"/>
  <c r="E99" i="7"/>
  <c r="D99" i="7"/>
  <c r="B106" i="7" s="1"/>
  <c r="C99" i="7"/>
  <c r="B95" i="7"/>
  <c r="C94" i="7"/>
  <c r="C93" i="7"/>
  <c r="J89" i="7"/>
  <c r="K88" i="7"/>
  <c r="J88" i="7"/>
  <c r="K87" i="7"/>
  <c r="J87" i="7"/>
  <c r="E87" i="7"/>
  <c r="D87" i="7"/>
  <c r="C87" i="7"/>
  <c r="C84" i="7"/>
  <c r="B84" i="7"/>
  <c r="B83" i="7"/>
  <c r="B82" i="7"/>
  <c r="C81" i="7"/>
  <c r="B81" i="7"/>
  <c r="K78" i="7"/>
  <c r="J78" i="7"/>
  <c r="K76" i="7"/>
  <c r="J75" i="7"/>
  <c r="E75" i="7"/>
  <c r="D75" i="7"/>
  <c r="C75" i="7"/>
  <c r="C72" i="7"/>
  <c r="B72" i="7"/>
  <c r="C71" i="7"/>
  <c r="C70" i="7"/>
  <c r="C69" i="7"/>
  <c r="K66" i="7"/>
  <c r="J66" i="7"/>
  <c r="K64" i="7"/>
  <c r="L63" i="7"/>
  <c r="K63" i="7"/>
  <c r="J63" i="7"/>
  <c r="E63" i="7"/>
  <c r="D63" i="7"/>
  <c r="C63" i="7"/>
  <c r="C59" i="7"/>
  <c r="C58" i="7"/>
  <c r="B58" i="7"/>
  <c r="G52" i="7" s="1"/>
  <c r="B57" i="7"/>
  <c r="K54" i="7"/>
  <c r="E51" i="7"/>
  <c r="D51" i="7"/>
  <c r="C51" i="7"/>
  <c r="G48" i="7"/>
  <c r="C48" i="7"/>
  <c r="B48" i="7"/>
  <c r="G42" i="7" s="1"/>
  <c r="G45" i="7"/>
  <c r="C45" i="7"/>
  <c r="B45" i="7"/>
  <c r="G39" i="7" s="1"/>
  <c r="L39" i="7"/>
  <c r="K39" i="7"/>
  <c r="E39" i="7"/>
  <c r="D39" i="7"/>
  <c r="C39" i="7"/>
  <c r="B36" i="7"/>
  <c r="E27" i="7"/>
  <c r="D27" i="7"/>
  <c r="C27" i="7"/>
  <c r="C24" i="7"/>
  <c r="C23" i="7"/>
  <c r="C22" i="7"/>
  <c r="C21" i="7"/>
  <c r="B21" i="7"/>
  <c r="G21" i="7" s="1"/>
  <c r="H21" i="7" s="1"/>
  <c r="K18" i="7"/>
  <c r="K17" i="7"/>
  <c r="J17" i="7"/>
  <c r="J16" i="7"/>
  <c r="L15" i="7"/>
  <c r="K15" i="7"/>
  <c r="J15" i="7"/>
  <c r="G15" i="7"/>
  <c r="E15" i="7"/>
  <c r="D15" i="7"/>
  <c r="C15" i="7"/>
  <c r="E3" i="7"/>
  <c r="C12" i="7" s="1"/>
  <c r="D3" i="7"/>
  <c r="B9" i="7" s="1"/>
  <c r="C3" i="7"/>
  <c r="D120" i="6"/>
  <c r="C120" i="6"/>
  <c r="G114" i="6" s="1"/>
  <c r="B120" i="6"/>
  <c r="D117" i="6"/>
  <c r="C117" i="6"/>
  <c r="B117" i="6"/>
  <c r="K114" i="6"/>
  <c r="J114" i="6"/>
  <c r="K113" i="6"/>
  <c r="J113" i="6"/>
  <c r="L111" i="6"/>
  <c r="K111" i="6"/>
  <c r="J111" i="6"/>
  <c r="E111" i="6"/>
  <c r="C119" i="6" s="1"/>
  <c r="D111" i="6"/>
  <c r="C111" i="6"/>
  <c r="B108" i="6"/>
  <c r="D106" i="6"/>
  <c r="B106" i="6"/>
  <c r="D105" i="6"/>
  <c r="J102" i="6"/>
  <c r="J101" i="6"/>
  <c r="J100" i="6"/>
  <c r="J99" i="6"/>
  <c r="E99" i="6"/>
  <c r="C108" i="6" s="1"/>
  <c r="D99" i="6"/>
  <c r="C99" i="6"/>
  <c r="C96" i="6"/>
  <c r="C95" i="6"/>
  <c r="D94" i="6"/>
  <c r="C94" i="6"/>
  <c r="D93" i="6"/>
  <c r="B93" i="6"/>
  <c r="J90" i="6"/>
  <c r="J88" i="6"/>
  <c r="E87" i="6"/>
  <c r="C93" i="6" s="1"/>
  <c r="D87" i="6"/>
  <c r="B95" i="6" s="1"/>
  <c r="C87" i="6"/>
  <c r="D81" i="6"/>
  <c r="B81" i="6"/>
  <c r="E75" i="6"/>
  <c r="D75" i="6"/>
  <c r="C75" i="6"/>
  <c r="D72" i="6"/>
  <c r="B72" i="6"/>
  <c r="D71" i="6"/>
  <c r="B71" i="6"/>
  <c r="D70" i="6"/>
  <c r="B70" i="6"/>
  <c r="D69" i="6"/>
  <c r="B69" i="6"/>
  <c r="J65" i="6"/>
  <c r="K64" i="6"/>
  <c r="J64" i="6"/>
  <c r="J63" i="6"/>
  <c r="E63" i="6"/>
  <c r="D63" i="6"/>
  <c r="C63" i="6"/>
  <c r="D60" i="6"/>
  <c r="C60" i="6"/>
  <c r="B60" i="6"/>
  <c r="G60" i="6" s="1"/>
  <c r="D59" i="6"/>
  <c r="C59" i="6"/>
  <c r="B59" i="6"/>
  <c r="D58" i="6"/>
  <c r="C58" i="6"/>
  <c r="B58" i="6"/>
  <c r="D57" i="6"/>
  <c r="B57" i="6"/>
  <c r="G54" i="6"/>
  <c r="K53" i="6"/>
  <c r="K52" i="6"/>
  <c r="L51" i="6"/>
  <c r="K51" i="6"/>
  <c r="E51" i="6"/>
  <c r="D51" i="6"/>
  <c r="C51" i="6"/>
  <c r="E39" i="6"/>
  <c r="D39" i="6"/>
  <c r="B48" i="6" s="1"/>
  <c r="C39" i="6"/>
  <c r="G36" i="6"/>
  <c r="D36" i="6"/>
  <c r="C36" i="6"/>
  <c r="B36" i="6"/>
  <c r="B35" i="6"/>
  <c r="D34" i="6"/>
  <c r="C33" i="6"/>
  <c r="B33" i="6"/>
  <c r="K30" i="6"/>
  <c r="J30" i="6"/>
  <c r="J29" i="6"/>
  <c r="K28" i="6"/>
  <c r="J28" i="6"/>
  <c r="J27" i="6"/>
  <c r="E27" i="6"/>
  <c r="D27" i="6"/>
  <c r="C27" i="6"/>
  <c r="J15" i="6"/>
  <c r="E15" i="6"/>
  <c r="D15" i="6"/>
  <c r="C15" i="6"/>
  <c r="E3" i="6"/>
  <c r="C10" i="6" s="1"/>
  <c r="D3" i="6"/>
  <c r="D11" i="6" s="1"/>
  <c r="C3" i="6"/>
  <c r="C118" i="5"/>
  <c r="B118" i="5"/>
  <c r="D117" i="5"/>
  <c r="B117" i="5"/>
  <c r="K116" i="5"/>
  <c r="J114" i="5"/>
  <c r="E111" i="5"/>
  <c r="D111" i="5"/>
  <c r="C111" i="5"/>
  <c r="D108" i="5"/>
  <c r="D107" i="5"/>
  <c r="C107" i="5"/>
  <c r="B106" i="5"/>
  <c r="K104" i="5"/>
  <c r="E99" i="5"/>
  <c r="D99" i="5"/>
  <c r="C99" i="5"/>
  <c r="C95" i="5"/>
  <c r="K92" i="5"/>
  <c r="E87" i="5"/>
  <c r="D87" i="5"/>
  <c r="C87" i="5"/>
  <c r="C84" i="5"/>
  <c r="D83" i="5"/>
  <c r="C83" i="5"/>
  <c r="B83" i="5"/>
  <c r="C82" i="5"/>
  <c r="D81" i="5"/>
  <c r="C81" i="5"/>
  <c r="B81" i="5"/>
  <c r="G75" i="5" s="1"/>
  <c r="K80" i="5"/>
  <c r="J75" i="5"/>
  <c r="E75" i="5"/>
  <c r="D75" i="5"/>
  <c r="C75" i="5"/>
  <c r="J78" i="5" s="1"/>
  <c r="D72" i="5"/>
  <c r="C72" i="5"/>
  <c r="K68" i="5"/>
  <c r="J63" i="5"/>
  <c r="E63" i="5"/>
  <c r="D63" i="5"/>
  <c r="C63" i="5"/>
  <c r="C57" i="5"/>
  <c r="B57" i="5"/>
  <c r="K56" i="5"/>
  <c r="E51" i="5"/>
  <c r="D51" i="5"/>
  <c r="C51" i="5"/>
  <c r="C48" i="5"/>
  <c r="C47" i="5"/>
  <c r="C46" i="5"/>
  <c r="K44" i="5"/>
  <c r="J41" i="5"/>
  <c r="J40" i="5"/>
  <c r="E39" i="5"/>
  <c r="C45" i="5" s="1"/>
  <c r="D39" i="5"/>
  <c r="C39" i="5"/>
  <c r="K32" i="5"/>
  <c r="E27" i="5"/>
  <c r="D27" i="5"/>
  <c r="C27" i="5"/>
  <c r="D24" i="5"/>
  <c r="B24" i="5"/>
  <c r="D23" i="5"/>
  <c r="B23" i="5"/>
  <c r="D21" i="5"/>
  <c r="K20" i="5"/>
  <c r="E15" i="5"/>
  <c r="D15" i="5"/>
  <c r="C15" i="5"/>
  <c r="K8" i="5"/>
  <c r="E3" i="5"/>
  <c r="C12" i="5" s="1"/>
  <c r="D3" i="5"/>
  <c r="B12" i="5" s="1"/>
  <c r="C3" i="5"/>
  <c r="C119" i="4"/>
  <c r="G119" i="4" s="1"/>
  <c r="B119" i="4"/>
  <c r="B117" i="4"/>
  <c r="E111" i="4"/>
  <c r="D111" i="4"/>
  <c r="D119" i="4" s="1"/>
  <c r="C111" i="4"/>
  <c r="D108" i="4"/>
  <c r="C108" i="4"/>
  <c r="G107" i="4"/>
  <c r="D107" i="4"/>
  <c r="C107" i="4"/>
  <c r="B107" i="4"/>
  <c r="G101" i="4" s="1"/>
  <c r="D106" i="4"/>
  <c r="C106" i="4"/>
  <c r="C105" i="4"/>
  <c r="B105" i="4"/>
  <c r="K102" i="4"/>
  <c r="J102" i="4"/>
  <c r="J101" i="4"/>
  <c r="K100" i="4"/>
  <c r="K99" i="4"/>
  <c r="E99" i="4"/>
  <c r="D99" i="4"/>
  <c r="C99" i="4"/>
  <c r="D96" i="4"/>
  <c r="B96" i="4"/>
  <c r="D95" i="4"/>
  <c r="B95" i="4"/>
  <c r="B94" i="4"/>
  <c r="D93" i="4"/>
  <c r="B93" i="4"/>
  <c r="J90" i="4"/>
  <c r="J89" i="4"/>
  <c r="J88" i="4"/>
  <c r="J87" i="4"/>
  <c r="E87" i="4"/>
  <c r="D87" i="4"/>
  <c r="C87" i="4"/>
  <c r="G84" i="4"/>
  <c r="D84" i="4"/>
  <c r="C84" i="4"/>
  <c r="B84" i="4"/>
  <c r="G78" i="4" s="1"/>
  <c r="C81" i="4"/>
  <c r="K77" i="4"/>
  <c r="J77" i="4"/>
  <c r="L75" i="4"/>
  <c r="K75" i="4"/>
  <c r="E75" i="4"/>
  <c r="D75" i="4"/>
  <c r="B82" i="4" s="1"/>
  <c r="C75" i="4"/>
  <c r="D72" i="4"/>
  <c r="C72" i="4"/>
  <c r="C71" i="4"/>
  <c r="B71" i="4"/>
  <c r="D70" i="4"/>
  <c r="C70" i="4"/>
  <c r="C69" i="4"/>
  <c r="E63" i="4"/>
  <c r="D63" i="4"/>
  <c r="C63" i="4"/>
  <c r="D60" i="4"/>
  <c r="C60" i="4"/>
  <c r="B59" i="4"/>
  <c r="D58" i="4"/>
  <c r="C58" i="4"/>
  <c r="D57" i="4"/>
  <c r="B57" i="4"/>
  <c r="K54" i="4"/>
  <c r="K53" i="4"/>
  <c r="K52" i="4"/>
  <c r="J52" i="4"/>
  <c r="L51" i="4"/>
  <c r="E51" i="4"/>
  <c r="D51" i="4"/>
  <c r="C51" i="4"/>
  <c r="D47" i="4"/>
  <c r="B47" i="4"/>
  <c r="B46" i="4"/>
  <c r="D45" i="4"/>
  <c r="B45" i="4"/>
  <c r="J40" i="4"/>
  <c r="L39" i="4"/>
  <c r="J39" i="4"/>
  <c r="E39" i="4"/>
  <c r="D39" i="4"/>
  <c r="C39" i="4"/>
  <c r="C36" i="4"/>
  <c r="C35" i="4"/>
  <c r="C34" i="4"/>
  <c r="C33" i="4"/>
  <c r="B33" i="4"/>
  <c r="E27" i="4"/>
  <c r="D27" i="4"/>
  <c r="D34" i="4" s="1"/>
  <c r="C27" i="4"/>
  <c r="B23" i="4"/>
  <c r="D22" i="4"/>
  <c r="B22" i="4"/>
  <c r="E15" i="4"/>
  <c r="D15" i="4"/>
  <c r="C15" i="4"/>
  <c r="E3" i="4"/>
  <c r="C10" i="4" s="1"/>
  <c r="D3" i="4"/>
  <c r="F12" i="4" s="1"/>
  <c r="C3" i="4"/>
  <c r="E111" i="3"/>
  <c r="D111" i="3"/>
  <c r="C111" i="3"/>
  <c r="F108" i="3"/>
  <c r="B108" i="3"/>
  <c r="B107" i="3"/>
  <c r="B106" i="3"/>
  <c r="B105" i="3"/>
  <c r="J102" i="3"/>
  <c r="J101" i="3"/>
  <c r="J100" i="3"/>
  <c r="E99" i="3"/>
  <c r="D99" i="3"/>
  <c r="C99" i="3"/>
  <c r="F105" i="3" s="1"/>
  <c r="C96" i="3"/>
  <c r="C95" i="3"/>
  <c r="B95" i="3"/>
  <c r="G89" i="3" s="1"/>
  <c r="C94" i="3"/>
  <c r="F93" i="3"/>
  <c r="C93" i="3"/>
  <c r="K89" i="3"/>
  <c r="E87" i="3"/>
  <c r="D87" i="3"/>
  <c r="C87" i="3"/>
  <c r="F95" i="3" s="1"/>
  <c r="F84" i="3"/>
  <c r="B84" i="3"/>
  <c r="H83" i="3"/>
  <c r="F83" i="3"/>
  <c r="C83" i="3"/>
  <c r="G83" i="3" s="1"/>
  <c r="B83" i="3"/>
  <c r="C82" i="3"/>
  <c r="G82" i="3" s="1"/>
  <c r="K77" i="3"/>
  <c r="J77" i="3"/>
  <c r="J76" i="3"/>
  <c r="G76" i="3"/>
  <c r="J75" i="3"/>
  <c r="E75" i="3"/>
  <c r="D75" i="3"/>
  <c r="B82" i="3" s="1"/>
  <c r="C75" i="3"/>
  <c r="J78" i="3" s="1"/>
  <c r="F72" i="3"/>
  <c r="B72" i="3"/>
  <c r="F71" i="3"/>
  <c r="B71" i="3"/>
  <c r="B70" i="3"/>
  <c r="F69" i="3"/>
  <c r="B69" i="3"/>
  <c r="K66" i="3"/>
  <c r="J66" i="3"/>
  <c r="J65" i="3"/>
  <c r="J64" i="3"/>
  <c r="J63" i="3"/>
  <c r="E63" i="3"/>
  <c r="C71" i="3" s="1"/>
  <c r="G71" i="3" s="1"/>
  <c r="H71" i="3" s="1"/>
  <c r="D63" i="3"/>
  <c r="C63" i="3"/>
  <c r="F70" i="3" s="1"/>
  <c r="F60" i="3"/>
  <c r="C60" i="3"/>
  <c r="C59" i="3"/>
  <c r="C58" i="3"/>
  <c r="C57" i="3"/>
  <c r="E51" i="3"/>
  <c r="D51" i="3"/>
  <c r="C51" i="3"/>
  <c r="C48" i="3"/>
  <c r="B48" i="3"/>
  <c r="G48" i="3" s="1"/>
  <c r="C47" i="3"/>
  <c r="C46" i="3"/>
  <c r="B46" i="3"/>
  <c r="G45" i="3"/>
  <c r="F45" i="3"/>
  <c r="H45" i="3" s="1"/>
  <c r="C45" i="3"/>
  <c r="B45" i="3"/>
  <c r="G39" i="3" s="1"/>
  <c r="J42" i="3"/>
  <c r="G42" i="3"/>
  <c r="K41" i="3"/>
  <c r="L39" i="3"/>
  <c r="K39" i="3"/>
  <c r="E39" i="3"/>
  <c r="D39" i="3"/>
  <c r="C39" i="3"/>
  <c r="F36" i="3"/>
  <c r="B36" i="3"/>
  <c r="F35" i="3"/>
  <c r="C35" i="3"/>
  <c r="B35" i="3"/>
  <c r="G29" i="3" s="1"/>
  <c r="C34" i="3"/>
  <c r="C33" i="3"/>
  <c r="K29" i="3"/>
  <c r="K28" i="3"/>
  <c r="J28" i="3"/>
  <c r="L27" i="3"/>
  <c r="E27" i="3"/>
  <c r="D27" i="3"/>
  <c r="C27" i="3"/>
  <c r="C24" i="3"/>
  <c r="G24" i="3" s="1"/>
  <c r="B24" i="3"/>
  <c r="C23" i="3"/>
  <c r="B23" i="3"/>
  <c r="C22" i="3"/>
  <c r="B22" i="3"/>
  <c r="B21" i="3"/>
  <c r="K17" i="3"/>
  <c r="K16" i="3"/>
  <c r="L15" i="3"/>
  <c r="K15" i="3"/>
  <c r="E15" i="3"/>
  <c r="K18" i="3" s="1"/>
  <c r="D15" i="3"/>
  <c r="C15" i="3"/>
  <c r="E3" i="3"/>
  <c r="C10" i="3" s="1"/>
  <c r="D3" i="3"/>
  <c r="B9" i="3" s="1"/>
  <c r="C3" i="3"/>
  <c r="J114" i="2"/>
  <c r="H114" i="2"/>
  <c r="I114" i="2" s="1"/>
  <c r="G114" i="2"/>
  <c r="F114" i="2"/>
  <c r="K113" i="2"/>
  <c r="J113" i="2"/>
  <c r="G113" i="2"/>
  <c r="K112" i="2"/>
  <c r="G112" i="2"/>
  <c r="K111" i="2"/>
  <c r="E111" i="2"/>
  <c r="G111" i="2" s="1"/>
  <c r="D111" i="2"/>
  <c r="J102" i="2"/>
  <c r="G102" i="2"/>
  <c r="H102" i="2" s="1"/>
  <c r="I102" i="2" s="1"/>
  <c r="K101" i="2"/>
  <c r="G101" i="2"/>
  <c r="F101" i="2"/>
  <c r="H101" i="2" s="1"/>
  <c r="I101" i="2" s="1"/>
  <c r="K100" i="2"/>
  <c r="J100" i="2"/>
  <c r="G100" i="2"/>
  <c r="F100" i="2"/>
  <c r="J99" i="2"/>
  <c r="G99" i="2"/>
  <c r="F99" i="2"/>
  <c r="E99" i="2"/>
  <c r="K99" i="2" s="1"/>
  <c r="D99" i="2"/>
  <c r="F102" i="2" s="1"/>
  <c r="F90" i="2"/>
  <c r="K89" i="2"/>
  <c r="F89" i="2"/>
  <c r="F87" i="2"/>
  <c r="E87" i="2"/>
  <c r="D87" i="2"/>
  <c r="K78" i="2"/>
  <c r="G77" i="2"/>
  <c r="F77" i="2"/>
  <c r="J75" i="2"/>
  <c r="E75" i="2"/>
  <c r="D75" i="2"/>
  <c r="K66" i="2"/>
  <c r="G66" i="2"/>
  <c r="K65" i="2"/>
  <c r="G65" i="2"/>
  <c r="K64" i="2"/>
  <c r="G64" i="2"/>
  <c r="F64" i="2"/>
  <c r="H64" i="2" s="1"/>
  <c r="I64" i="2" s="1"/>
  <c r="K63" i="2"/>
  <c r="G63" i="2"/>
  <c r="E63" i="2"/>
  <c r="D63" i="2"/>
  <c r="G54" i="2"/>
  <c r="F54" i="2"/>
  <c r="K53" i="2"/>
  <c r="J53" i="2"/>
  <c r="G53" i="2"/>
  <c r="K52" i="2"/>
  <c r="G52" i="2"/>
  <c r="F52" i="2"/>
  <c r="K51" i="2"/>
  <c r="G51" i="2"/>
  <c r="E51" i="2"/>
  <c r="K54" i="2" s="1"/>
  <c r="D51" i="2"/>
  <c r="K42" i="2"/>
  <c r="J42" i="2"/>
  <c r="G42" i="2"/>
  <c r="F42" i="2"/>
  <c r="H42" i="2" s="1"/>
  <c r="I42" i="2" s="1"/>
  <c r="K41" i="2"/>
  <c r="G41" i="2"/>
  <c r="F41" i="2"/>
  <c r="K40" i="2"/>
  <c r="J40" i="2"/>
  <c r="G40" i="2"/>
  <c r="J39" i="2"/>
  <c r="H39" i="2"/>
  <c r="I39" i="2" s="1"/>
  <c r="G39" i="2"/>
  <c r="F39" i="2"/>
  <c r="E39" i="2"/>
  <c r="K39" i="2" s="1"/>
  <c r="D39" i="2"/>
  <c r="K30" i="2"/>
  <c r="J30" i="2"/>
  <c r="G30" i="2"/>
  <c r="G29" i="2"/>
  <c r="J28" i="2"/>
  <c r="F28" i="2"/>
  <c r="J27" i="2"/>
  <c r="G27" i="2"/>
  <c r="H27" i="2" s="1"/>
  <c r="I27" i="2" s="1"/>
  <c r="F27" i="2"/>
  <c r="E27" i="2"/>
  <c r="D27" i="2"/>
  <c r="J18" i="2"/>
  <c r="J17" i="2"/>
  <c r="F17" i="2"/>
  <c r="J16" i="2"/>
  <c r="F16" i="2"/>
  <c r="J15" i="2"/>
  <c r="E15" i="2"/>
  <c r="G15" i="2" s="1"/>
  <c r="D15" i="2"/>
  <c r="F15" i="2" s="1"/>
  <c r="E3" i="2"/>
  <c r="K5" i="2" s="1"/>
  <c r="D3" i="2"/>
  <c r="J4" i="2" s="1"/>
  <c r="AN42" i="1"/>
  <c r="AM42" i="1"/>
  <c r="AI42" i="1"/>
  <c r="AE42" i="1"/>
  <c r="Y42" i="1"/>
  <c r="X42" i="1"/>
  <c r="AN41" i="1"/>
  <c r="AM41" i="1"/>
  <c r="AI41" i="1"/>
  <c r="AE41" i="1"/>
  <c r="Z41" i="1"/>
  <c r="Y41" i="1"/>
  <c r="X41" i="1"/>
  <c r="O41" i="1"/>
  <c r="K41" i="1"/>
  <c r="AY40" i="1"/>
  <c r="AN40" i="1"/>
  <c r="AM40" i="1"/>
  <c r="AI40" i="1"/>
  <c r="AE40" i="1"/>
  <c r="Y40" i="1"/>
  <c r="X40" i="1"/>
  <c r="T40" i="1"/>
  <c r="T84" i="27" s="1"/>
  <c r="S40" i="1"/>
  <c r="P40" i="1"/>
  <c r="L40" i="1"/>
  <c r="K40" i="1"/>
  <c r="AN39" i="1"/>
  <c r="AM39" i="1"/>
  <c r="AI39" i="1"/>
  <c r="AE39" i="1"/>
  <c r="Y39" i="1"/>
  <c r="X39" i="1"/>
  <c r="AN38" i="1"/>
  <c r="AM38" i="1"/>
  <c r="AI38" i="1"/>
  <c r="AE38" i="1"/>
  <c r="Y38" i="1"/>
  <c r="X38" i="1"/>
  <c r="T38" i="1"/>
  <c r="R75" i="27" s="1"/>
  <c r="S38" i="1"/>
  <c r="Q75" i="27" s="1"/>
  <c r="AN37" i="1"/>
  <c r="AM37" i="1"/>
  <c r="AI37" i="1"/>
  <c r="AE37" i="1"/>
  <c r="Z37" i="1"/>
  <c r="Y37" i="1"/>
  <c r="X37" i="1"/>
  <c r="O37" i="1"/>
  <c r="K37" i="1"/>
  <c r="AY36" i="1"/>
  <c r="AN36" i="1"/>
  <c r="AM36" i="1"/>
  <c r="AI36" i="1"/>
  <c r="AE36" i="1"/>
  <c r="Y36" i="1"/>
  <c r="X36" i="1"/>
  <c r="T36" i="1"/>
  <c r="T75" i="27" s="1"/>
  <c r="S36" i="1"/>
  <c r="S75" i="27" s="1"/>
  <c r="P36" i="1"/>
  <c r="O36" i="1"/>
  <c r="L36" i="1"/>
  <c r="K36" i="1"/>
  <c r="B99" i="12" s="1"/>
  <c r="F99" i="12" s="1"/>
  <c r="AN35" i="1"/>
  <c r="AM35" i="1"/>
  <c r="AI35" i="1"/>
  <c r="AE35" i="1"/>
  <c r="Y35" i="1"/>
  <c r="X35" i="1"/>
  <c r="AN34" i="1"/>
  <c r="AM34" i="1"/>
  <c r="AI34" i="1"/>
  <c r="AE34" i="1"/>
  <c r="Y34" i="1"/>
  <c r="X34" i="1"/>
  <c r="T34" i="1"/>
  <c r="R66" i="27" s="1"/>
  <c r="S34" i="1"/>
  <c r="Q66" i="27" s="1"/>
  <c r="AN33" i="1"/>
  <c r="AM33" i="1"/>
  <c r="AI33" i="1"/>
  <c r="AE33" i="1"/>
  <c r="Z33" i="1"/>
  <c r="Y33" i="1"/>
  <c r="X33" i="1"/>
  <c r="O33" i="1"/>
  <c r="K33" i="1"/>
  <c r="AY32" i="1"/>
  <c r="AN32" i="1"/>
  <c r="AM32" i="1"/>
  <c r="AI32" i="1"/>
  <c r="AE32" i="1"/>
  <c r="Y32" i="1"/>
  <c r="X32" i="1"/>
  <c r="T32" i="1"/>
  <c r="T66" i="27" s="1"/>
  <c r="S32" i="1"/>
  <c r="S66" i="27" s="1"/>
  <c r="P32" i="1"/>
  <c r="O32" i="1"/>
  <c r="L32" i="1"/>
  <c r="B69" i="27" s="1"/>
  <c r="B70" i="27" s="1"/>
  <c r="K32" i="1"/>
  <c r="AN31" i="1"/>
  <c r="AM31" i="1"/>
  <c r="AI31" i="1"/>
  <c r="AE31" i="1"/>
  <c r="Y31" i="1"/>
  <c r="X31" i="1"/>
  <c r="AN30" i="1"/>
  <c r="AM30" i="1"/>
  <c r="AI30" i="1"/>
  <c r="AE30" i="1"/>
  <c r="Y30" i="1"/>
  <c r="X30" i="1"/>
  <c r="T30" i="1"/>
  <c r="R57" i="27" s="1"/>
  <c r="S30" i="1"/>
  <c r="Q57" i="27" s="1"/>
  <c r="AN29" i="1"/>
  <c r="AM29" i="1"/>
  <c r="AI29" i="1"/>
  <c r="AE29" i="1"/>
  <c r="Z29" i="1"/>
  <c r="Y29" i="1"/>
  <c r="X29" i="1"/>
  <c r="O29" i="1"/>
  <c r="K29" i="1"/>
  <c r="AY28" i="1"/>
  <c r="AN28" i="1"/>
  <c r="AM28" i="1"/>
  <c r="AI28" i="1"/>
  <c r="AE28" i="1"/>
  <c r="Y28" i="1"/>
  <c r="X28" i="1"/>
  <c r="T28" i="1"/>
  <c r="T57" i="27" s="1"/>
  <c r="S28" i="1"/>
  <c r="S57" i="27" s="1"/>
  <c r="P28" i="1"/>
  <c r="O28" i="1"/>
  <c r="L28" i="1"/>
  <c r="K28" i="1"/>
  <c r="AN27" i="1"/>
  <c r="AM27" i="1"/>
  <c r="AI27" i="1"/>
  <c r="AE27" i="1"/>
  <c r="Y27" i="1"/>
  <c r="X27" i="1"/>
  <c r="AN26" i="1"/>
  <c r="AM26" i="1"/>
  <c r="AI26" i="1"/>
  <c r="AE26" i="1"/>
  <c r="Y26" i="1"/>
  <c r="X26" i="1"/>
  <c r="S26" i="1"/>
  <c r="Q48" i="27" s="1"/>
  <c r="AN25" i="1"/>
  <c r="AM25" i="1"/>
  <c r="AI25" i="1"/>
  <c r="AE25" i="1"/>
  <c r="Z25" i="1"/>
  <c r="Y25" i="1"/>
  <c r="X25" i="1"/>
  <c r="O25" i="1"/>
  <c r="K25" i="1"/>
  <c r="AY24" i="1"/>
  <c r="AN24" i="1"/>
  <c r="AM24" i="1"/>
  <c r="AI24" i="1"/>
  <c r="AE24" i="1"/>
  <c r="Y24" i="1"/>
  <c r="X24" i="1"/>
  <c r="T24" i="1"/>
  <c r="S24" i="1"/>
  <c r="S48" i="27" s="1"/>
  <c r="P24" i="1"/>
  <c r="O24" i="1"/>
  <c r="L24" i="1"/>
  <c r="B51" i="27" s="1"/>
  <c r="B52" i="27" s="1"/>
  <c r="K24" i="1"/>
  <c r="AN23" i="1"/>
  <c r="AM23" i="1"/>
  <c r="AI23" i="1"/>
  <c r="AE23" i="1"/>
  <c r="Y23" i="1"/>
  <c r="X23" i="1"/>
  <c r="AN22" i="1"/>
  <c r="AM22" i="1"/>
  <c r="AI22" i="1"/>
  <c r="AE22" i="1"/>
  <c r="Y22" i="1"/>
  <c r="X22" i="1"/>
  <c r="T22" i="1"/>
  <c r="R39" i="27" s="1"/>
  <c r="AN21" i="1"/>
  <c r="AM21" i="1"/>
  <c r="AI21" i="1"/>
  <c r="AE21" i="1"/>
  <c r="Z21" i="1"/>
  <c r="Y21" i="1"/>
  <c r="X21" i="1"/>
  <c r="O21" i="1"/>
  <c r="K21" i="1"/>
  <c r="AY20" i="1"/>
  <c r="AN20" i="1"/>
  <c r="AM20" i="1"/>
  <c r="AI20" i="1"/>
  <c r="AE20" i="1"/>
  <c r="Y20" i="1"/>
  <c r="X20" i="1"/>
  <c r="T20" i="1"/>
  <c r="T39" i="27" s="1"/>
  <c r="S20" i="1"/>
  <c r="S39" i="27" s="1"/>
  <c r="P20" i="1"/>
  <c r="O20" i="1"/>
  <c r="L20" i="1"/>
  <c r="K20" i="1"/>
  <c r="AN19" i="1"/>
  <c r="AM19" i="1"/>
  <c r="AI19" i="1"/>
  <c r="AE19" i="1"/>
  <c r="Y19" i="1"/>
  <c r="X19" i="1"/>
  <c r="AN18" i="1"/>
  <c r="AM18" i="1"/>
  <c r="AI18" i="1"/>
  <c r="AE18" i="1"/>
  <c r="Y18" i="1"/>
  <c r="X18" i="1"/>
  <c r="AN17" i="1"/>
  <c r="AM17" i="1"/>
  <c r="AI17" i="1"/>
  <c r="AE17" i="1"/>
  <c r="Z17" i="1"/>
  <c r="Y17" i="1"/>
  <c r="X17" i="1"/>
  <c r="K17" i="1"/>
  <c r="AY16" i="1"/>
  <c r="AN16" i="1"/>
  <c r="AM16" i="1"/>
  <c r="AI16" i="1"/>
  <c r="AE16" i="1"/>
  <c r="Y16" i="1"/>
  <c r="X16" i="1"/>
  <c r="T16" i="1"/>
  <c r="S16" i="1"/>
  <c r="P16" i="1"/>
  <c r="O16" i="1"/>
  <c r="L16" i="1"/>
  <c r="B33" i="27" s="1"/>
  <c r="B34" i="27" s="1"/>
  <c r="K16" i="1"/>
  <c r="AN15" i="1"/>
  <c r="AM15" i="1"/>
  <c r="AI15" i="1"/>
  <c r="AE15" i="1"/>
  <c r="Y15" i="1"/>
  <c r="X15" i="1"/>
  <c r="AN14" i="1"/>
  <c r="AM14" i="1"/>
  <c r="AI14" i="1"/>
  <c r="AE14" i="1"/>
  <c r="Y14" i="1"/>
  <c r="X14" i="1"/>
  <c r="T14" i="1"/>
  <c r="R21" i="27" s="1"/>
  <c r="S14" i="1"/>
  <c r="Q21" i="27" s="1"/>
  <c r="AN13" i="1"/>
  <c r="AM13" i="1"/>
  <c r="AI13" i="1"/>
  <c r="AE13" i="1"/>
  <c r="Z13" i="1"/>
  <c r="Y13" i="1"/>
  <c r="X13" i="1"/>
  <c r="O13" i="1"/>
  <c r="K13" i="1"/>
  <c r="AY12" i="1"/>
  <c r="AN12" i="1"/>
  <c r="AM12" i="1"/>
  <c r="AI12" i="1"/>
  <c r="AE12" i="1"/>
  <c r="Y12" i="1"/>
  <c r="X12" i="1"/>
  <c r="T12" i="1"/>
  <c r="T21" i="27" s="1"/>
  <c r="S12" i="1"/>
  <c r="S21" i="27" s="1"/>
  <c r="P12" i="1"/>
  <c r="O12" i="1"/>
  <c r="L12" i="1"/>
  <c r="K12" i="1"/>
  <c r="AN11" i="1"/>
  <c r="AM11" i="1"/>
  <c r="AI11" i="1"/>
  <c r="AE11" i="1"/>
  <c r="Y11" i="1"/>
  <c r="X11" i="1"/>
  <c r="AN10" i="1"/>
  <c r="AM10" i="1"/>
  <c r="AI10" i="1"/>
  <c r="AE10" i="1"/>
  <c r="Y10" i="1"/>
  <c r="X10" i="1"/>
  <c r="T10" i="1"/>
  <c r="R12" i="27" s="1"/>
  <c r="S10" i="1"/>
  <c r="Q12" i="27" s="1"/>
  <c r="AN9" i="1"/>
  <c r="AM9" i="1"/>
  <c r="AI9" i="1"/>
  <c r="AE9" i="1"/>
  <c r="Z9" i="1"/>
  <c r="Y9" i="1"/>
  <c r="X9" i="1"/>
  <c r="O9" i="1"/>
  <c r="K9" i="1"/>
  <c r="AY8" i="1"/>
  <c r="AN8" i="1"/>
  <c r="AM8" i="1"/>
  <c r="AI8" i="1"/>
  <c r="AE8" i="1"/>
  <c r="Y8" i="1"/>
  <c r="X8" i="1"/>
  <c r="T8" i="1"/>
  <c r="T12" i="27" s="1"/>
  <c r="S8" i="1"/>
  <c r="S12" i="27" s="1"/>
  <c r="P8" i="1"/>
  <c r="O8" i="1"/>
  <c r="L8" i="1"/>
  <c r="K8" i="1"/>
  <c r="AN7" i="1"/>
  <c r="AM7" i="1"/>
  <c r="AI7" i="1"/>
  <c r="AE7" i="1"/>
  <c r="Y7" i="1"/>
  <c r="X7" i="1"/>
  <c r="AN6" i="1"/>
  <c r="AI6" i="1"/>
  <c r="AE6" i="1"/>
  <c r="Y6" i="1"/>
  <c r="X6" i="1"/>
  <c r="T6" i="1"/>
  <c r="R3" i="27" s="1"/>
  <c r="S6" i="1"/>
  <c r="Q3" i="27" s="1"/>
  <c r="AN5" i="1"/>
  <c r="AI5" i="1"/>
  <c r="AE5" i="1"/>
  <c r="Z5" i="1"/>
  <c r="Y5" i="1"/>
  <c r="X5" i="1"/>
  <c r="K5" i="1"/>
  <c r="AY4" i="1"/>
  <c r="C1" i="1" s="1"/>
  <c r="AN4" i="1"/>
  <c r="AI4" i="1"/>
  <c r="AE4" i="1"/>
  <c r="Y4" i="1"/>
  <c r="X4" i="1"/>
  <c r="T4" i="1"/>
  <c r="T3" i="27" s="1"/>
  <c r="S4" i="1"/>
  <c r="S3" i="27" s="1"/>
  <c r="D66" i="27" a="1"/>
  <c r="C66" i="27" a="1"/>
  <c r="C21" i="27" a="1"/>
  <c r="I30" i="1" a="1"/>
  <c r="I26" i="1" a="1"/>
  <c r="I34" i="1" a="1"/>
  <c r="D39" i="27" a="1"/>
  <c r="I42" i="1" a="1"/>
  <c r="I38" i="1" a="1"/>
  <c r="D75" i="27" a="1"/>
  <c r="D12" i="27" a="1"/>
  <c r="C12" i="27" a="1"/>
  <c r="I14" i="1" a="1"/>
  <c r="I22" i="1" a="1"/>
  <c r="D84" i="27" a="1"/>
  <c r="I10" i="1" a="1"/>
  <c r="C48" i="27" a="1"/>
  <c r="D21" i="27" a="1"/>
  <c r="D57" i="27" a="1"/>
  <c r="C84" i="27" a="1"/>
  <c r="D30" i="27" a="1"/>
  <c r="C75" i="27" a="1"/>
  <c r="C57" i="27" a="1"/>
  <c r="C39" i="27" a="1"/>
  <c r="D48" i="27" a="1"/>
  <c r="C30" i="27" a="1"/>
  <c r="I18" i="1" a="1"/>
  <c r="C10" i="8" l="1"/>
  <c r="C9" i="14"/>
  <c r="E9" i="14"/>
  <c r="C10" i="7"/>
  <c r="G4" i="7" s="1"/>
  <c r="E4" i="24"/>
  <c r="G4" i="2"/>
  <c r="K4" i="2"/>
  <c r="G5" i="2"/>
  <c r="B10" i="3"/>
  <c r="D12" i="5"/>
  <c r="F11" i="3"/>
  <c r="B12" i="3"/>
  <c r="B12" i="8"/>
  <c r="J5" i="4"/>
  <c r="B11" i="3"/>
  <c r="D11" i="8"/>
  <c r="J4" i="4"/>
  <c r="F12" i="3"/>
  <c r="D12" i="8"/>
  <c r="J6" i="4"/>
  <c r="B9" i="4"/>
  <c r="B10" i="4"/>
  <c r="D11" i="4"/>
  <c r="J5" i="3"/>
  <c r="J6" i="5"/>
  <c r="J6" i="8"/>
  <c r="J5" i="15"/>
  <c r="J6" i="13"/>
  <c r="J6" i="3"/>
  <c r="J3" i="13"/>
  <c r="J5" i="13"/>
  <c r="F9" i="3"/>
  <c r="F10" i="3"/>
  <c r="J6" i="7"/>
  <c r="J3" i="8"/>
  <c r="F11" i="8"/>
  <c r="J4" i="8"/>
  <c r="F12" i="8"/>
  <c r="B9" i="8"/>
  <c r="D9" i="8"/>
  <c r="F9" i="4"/>
  <c r="F9" i="5"/>
  <c r="F9" i="6"/>
  <c r="F11" i="7"/>
  <c r="F10" i="4"/>
  <c r="F10" i="5"/>
  <c r="F10" i="6"/>
  <c r="D9" i="6"/>
  <c r="F11" i="4"/>
  <c r="F11" i="5"/>
  <c r="F11" i="6"/>
  <c r="B12" i="4"/>
  <c r="B12" i="6"/>
  <c r="F11" i="15"/>
  <c r="F12" i="5"/>
  <c r="F12" i="6"/>
  <c r="I42" i="1"/>
  <c r="I38" i="1"/>
  <c r="G76" i="22" s="1"/>
  <c r="G77" i="22" s="1"/>
  <c r="G80" i="22" s="1"/>
  <c r="I34" i="1"/>
  <c r="I30" i="1"/>
  <c r="G58" i="22" s="1"/>
  <c r="G59" i="22" s="1"/>
  <c r="G62" i="22" s="1"/>
  <c r="I26" i="1"/>
  <c r="I22" i="1"/>
  <c r="I18" i="1"/>
  <c r="G31" i="22" s="1"/>
  <c r="G32" i="22" s="1"/>
  <c r="G35" i="22" s="1"/>
  <c r="I14" i="1"/>
  <c r="G22" i="22" s="1"/>
  <c r="G23" i="22" s="1"/>
  <c r="G26" i="22" s="1"/>
  <c r="I10" i="1"/>
  <c r="G13" i="22" s="1"/>
  <c r="G14" i="22" s="1"/>
  <c r="G17" i="22" s="1"/>
  <c r="F9" i="9"/>
  <c r="K3" i="15"/>
  <c r="N9" i="9"/>
  <c r="K4" i="15"/>
  <c r="D10" i="9"/>
  <c r="N10" i="9"/>
  <c r="K6" i="4"/>
  <c r="B11" i="9"/>
  <c r="C11" i="3"/>
  <c r="D11" i="9"/>
  <c r="C9" i="4"/>
  <c r="L11" i="9"/>
  <c r="C12" i="3"/>
  <c r="G12" i="3" s="1"/>
  <c r="C11" i="4"/>
  <c r="N11" i="9"/>
  <c r="F5" i="9" s="1"/>
  <c r="C12" i="4"/>
  <c r="C9" i="6"/>
  <c r="F12" i="9"/>
  <c r="D9" i="9"/>
  <c r="L9" i="9"/>
  <c r="B10" i="9"/>
  <c r="G10" i="3"/>
  <c r="H10" i="3" s="1"/>
  <c r="K5" i="15"/>
  <c r="K5" i="4"/>
  <c r="L10" i="9"/>
  <c r="F4" i="9" s="1"/>
  <c r="G11" i="15"/>
  <c r="G12" i="15"/>
  <c r="B12" i="9"/>
  <c r="L12" i="9"/>
  <c r="G4" i="15"/>
  <c r="F10" i="9"/>
  <c r="D12" i="9"/>
  <c r="B10" i="7"/>
  <c r="F12" i="7"/>
  <c r="F5" i="2"/>
  <c r="E10" i="9"/>
  <c r="K4" i="13"/>
  <c r="G4" i="3"/>
  <c r="J4" i="5"/>
  <c r="K3" i="6"/>
  <c r="C9" i="9"/>
  <c r="K3" i="3"/>
  <c r="J4" i="3"/>
  <c r="J5" i="5"/>
  <c r="L3" i="6"/>
  <c r="D9" i="14"/>
  <c r="G3" i="14" s="1"/>
  <c r="K3" i="14" s="1"/>
  <c r="E12" i="9"/>
  <c r="E12" i="10"/>
  <c r="K4" i="3"/>
  <c r="J6" i="6"/>
  <c r="K3" i="13"/>
  <c r="J3" i="6"/>
  <c r="K5" i="13"/>
  <c r="K5" i="3"/>
  <c r="K6" i="6"/>
  <c r="E11" i="9"/>
  <c r="D10" i="14"/>
  <c r="F9" i="7"/>
  <c r="F9" i="8"/>
  <c r="F10" i="7"/>
  <c r="F10" i="8"/>
  <c r="J5" i="8"/>
  <c r="J3" i="7"/>
  <c r="J3" i="15"/>
  <c r="J5" i="7"/>
  <c r="J4" i="15"/>
  <c r="F10" i="15"/>
  <c r="M9" i="9"/>
  <c r="F3" i="9" s="1"/>
  <c r="J3" i="9" s="1"/>
  <c r="F9" i="15"/>
  <c r="H36" i="6"/>
  <c r="D84" i="27"/>
  <c r="D75" i="27"/>
  <c r="D66" i="27"/>
  <c r="D57" i="27"/>
  <c r="D48" i="27"/>
  <c r="D39" i="27"/>
  <c r="D30" i="27"/>
  <c r="D21" i="27"/>
  <c r="D12" i="27"/>
  <c r="C84" i="27"/>
  <c r="C75" i="27"/>
  <c r="C66" i="27"/>
  <c r="C57" i="27"/>
  <c r="C48" i="27"/>
  <c r="C39" i="27"/>
  <c r="C30" i="27"/>
  <c r="C21" i="27"/>
  <c r="C12" i="27"/>
  <c r="G66" i="6"/>
  <c r="H95" i="3"/>
  <c r="H77" i="2"/>
  <c r="I77" i="2" s="1"/>
  <c r="G64" i="3"/>
  <c r="J18" i="6"/>
  <c r="J17" i="6"/>
  <c r="J16" i="6"/>
  <c r="H106" i="8"/>
  <c r="G30" i="7"/>
  <c r="G81" i="7"/>
  <c r="H81" i="7" s="1"/>
  <c r="G75" i="7"/>
  <c r="G65" i="3"/>
  <c r="C23" i="4"/>
  <c r="C22" i="4"/>
  <c r="G22" i="4" s="1"/>
  <c r="C21" i="4"/>
  <c r="G89" i="4"/>
  <c r="D94" i="5"/>
  <c r="D96" i="5"/>
  <c r="B96" i="5"/>
  <c r="B94" i="5"/>
  <c r="J87" i="5"/>
  <c r="B95" i="5"/>
  <c r="D93" i="5"/>
  <c r="B93" i="5"/>
  <c r="D95" i="5"/>
  <c r="G118" i="5"/>
  <c r="G112" i="5"/>
  <c r="D24" i="6"/>
  <c r="K18" i="6"/>
  <c r="D22" i="6"/>
  <c r="B21" i="6"/>
  <c r="B22" i="6"/>
  <c r="D21" i="6"/>
  <c r="K17" i="6"/>
  <c r="B23" i="6"/>
  <c r="C84" i="6"/>
  <c r="C83" i="6"/>
  <c r="L75" i="6"/>
  <c r="C82" i="6"/>
  <c r="C81" i="6"/>
  <c r="G81" i="6" s="1"/>
  <c r="H81" i="6" s="1"/>
  <c r="J40" i="7"/>
  <c r="J39" i="7"/>
  <c r="J41" i="7"/>
  <c r="J42" i="7"/>
  <c r="H45" i="7"/>
  <c r="F89" i="11"/>
  <c r="G88" i="11"/>
  <c r="J88" i="11" s="1"/>
  <c r="J28" i="14"/>
  <c r="G27" i="4"/>
  <c r="L15" i="6"/>
  <c r="C21" i="6"/>
  <c r="C60" i="27"/>
  <c r="E60" i="27"/>
  <c r="F60" i="27"/>
  <c r="F59" i="27" s="1"/>
  <c r="B70" i="17"/>
  <c r="D70" i="17"/>
  <c r="B70" i="16"/>
  <c r="B68" i="14"/>
  <c r="C70" i="17"/>
  <c r="B48" i="27"/>
  <c r="B63" i="17"/>
  <c r="B68" i="13"/>
  <c r="B68" i="12"/>
  <c r="C70" i="16"/>
  <c r="B63" i="13"/>
  <c r="B68" i="11"/>
  <c r="B63" i="15"/>
  <c r="B63" i="11"/>
  <c r="F64" i="11" s="1"/>
  <c r="D70" i="15"/>
  <c r="B63" i="16"/>
  <c r="C70" i="15"/>
  <c r="B63" i="12"/>
  <c r="B70" i="15"/>
  <c r="C46" i="6"/>
  <c r="C47" i="6"/>
  <c r="L39" i="6"/>
  <c r="C45" i="6"/>
  <c r="H93" i="6"/>
  <c r="N11" i="10"/>
  <c r="F9" i="10"/>
  <c r="N12" i="10"/>
  <c r="N9" i="10"/>
  <c r="D11" i="10"/>
  <c r="B11" i="10"/>
  <c r="N10" i="10"/>
  <c r="L9" i="10"/>
  <c r="D12" i="10"/>
  <c r="B12" i="10"/>
  <c r="F11" i="10"/>
  <c r="D9" i="10"/>
  <c r="L12" i="10"/>
  <c r="F12" i="10"/>
  <c r="L11" i="10"/>
  <c r="L10" i="10"/>
  <c r="D10" i="10"/>
  <c r="B10" i="10"/>
  <c r="J75" i="10"/>
  <c r="J99" i="10"/>
  <c r="J102" i="10"/>
  <c r="D47" i="14"/>
  <c r="D45" i="14"/>
  <c r="D46" i="14"/>
  <c r="J65" i="2"/>
  <c r="J64" i="2"/>
  <c r="F63" i="2"/>
  <c r="H63" i="2" s="1"/>
  <c r="I63" i="2" s="1"/>
  <c r="F66" i="2"/>
  <c r="H66" i="2" s="1"/>
  <c r="I66" i="2" s="1"/>
  <c r="F65" i="2"/>
  <c r="H65" i="2" s="1"/>
  <c r="I65" i="2" s="1"/>
  <c r="J63" i="2"/>
  <c r="J66" i="2"/>
  <c r="G17" i="3"/>
  <c r="G23" i="3"/>
  <c r="G35" i="3"/>
  <c r="H35" i="3" s="1"/>
  <c r="L15" i="4"/>
  <c r="D33" i="4"/>
  <c r="G33" i="4" s="1"/>
  <c r="H33" i="4" s="1"/>
  <c r="H84" i="4"/>
  <c r="G95" i="4"/>
  <c r="H95" i="4" s="1"/>
  <c r="G113" i="4"/>
  <c r="G100" i="5"/>
  <c r="K15" i="6"/>
  <c r="G75" i="6"/>
  <c r="G117" i="6"/>
  <c r="G111" i="6"/>
  <c r="J111" i="9"/>
  <c r="J41" i="10"/>
  <c r="K113" i="3"/>
  <c r="K111" i="3"/>
  <c r="C120" i="3"/>
  <c r="K112" i="3"/>
  <c r="L111" i="3"/>
  <c r="C119" i="3"/>
  <c r="C118" i="3"/>
  <c r="C117" i="3"/>
  <c r="H23" i="5"/>
  <c r="J17" i="5"/>
  <c r="J15" i="5"/>
  <c r="J18" i="5"/>
  <c r="B71" i="5"/>
  <c r="D69" i="5"/>
  <c r="B69" i="5"/>
  <c r="D71" i="5"/>
  <c r="D70" i="5"/>
  <c r="B70" i="5"/>
  <c r="J65" i="5"/>
  <c r="K16" i="6"/>
  <c r="G108" i="7"/>
  <c r="H108" i="7" s="1"/>
  <c r="B21" i="27"/>
  <c r="D34" i="17"/>
  <c r="B34" i="17"/>
  <c r="B27" i="14"/>
  <c r="B27" i="13"/>
  <c r="B27" i="16"/>
  <c r="D34" i="15"/>
  <c r="C34" i="15"/>
  <c r="B34" i="15"/>
  <c r="B27" i="17"/>
  <c r="B32" i="13"/>
  <c r="D34" i="16"/>
  <c r="C34" i="16"/>
  <c r="B27" i="12"/>
  <c r="B34" i="16"/>
  <c r="F30" i="16" s="1"/>
  <c r="H30" i="16" s="1"/>
  <c r="I30" i="16" s="1"/>
  <c r="B27" i="15"/>
  <c r="B32" i="11"/>
  <c r="B32" i="12"/>
  <c r="B27" i="11"/>
  <c r="G28" i="11" s="1"/>
  <c r="B32" i="14"/>
  <c r="C34" i="17"/>
  <c r="O50" i="27"/>
  <c r="S51" i="27"/>
  <c r="S53" i="27"/>
  <c r="S50" i="27"/>
  <c r="S52" i="27"/>
  <c r="O51" i="27"/>
  <c r="H99" i="12"/>
  <c r="I99" i="12" s="1"/>
  <c r="J99" i="12"/>
  <c r="J89" i="5"/>
  <c r="F10" i="10"/>
  <c r="J114" i="13"/>
  <c r="J113" i="13"/>
  <c r="F113" i="13"/>
  <c r="H113" i="13" s="1"/>
  <c r="I113" i="13" s="1"/>
  <c r="J112" i="13"/>
  <c r="B120" i="3"/>
  <c r="B118" i="3"/>
  <c r="B117" i="3"/>
  <c r="B36" i="5"/>
  <c r="B35" i="5"/>
  <c r="D34" i="5"/>
  <c r="B33" i="5"/>
  <c r="J30" i="5"/>
  <c r="D36" i="5"/>
  <c r="J27" i="5"/>
  <c r="D35" i="5"/>
  <c r="D33" i="5"/>
  <c r="G58" i="6"/>
  <c r="G52" i="6"/>
  <c r="H52" i="9"/>
  <c r="I52" i="9" s="1"/>
  <c r="J52" i="9"/>
  <c r="B9" i="10"/>
  <c r="F16" i="16"/>
  <c r="J18" i="16"/>
  <c r="B3" i="27"/>
  <c r="B3" i="15"/>
  <c r="B8" i="12"/>
  <c r="D10" i="15"/>
  <c r="B3" i="13"/>
  <c r="F3" i="13" s="1"/>
  <c r="C10" i="15"/>
  <c r="C10" i="17"/>
  <c r="B10" i="17"/>
  <c r="B10" i="15"/>
  <c r="B3" i="16"/>
  <c r="K5" i="16" s="1"/>
  <c r="B3" i="17"/>
  <c r="J4" i="17" s="1"/>
  <c r="C10" i="16"/>
  <c r="B10" i="16"/>
  <c r="B3" i="11"/>
  <c r="G5" i="11" s="1"/>
  <c r="B3" i="14"/>
  <c r="B8" i="14"/>
  <c r="D10" i="16"/>
  <c r="B8" i="13"/>
  <c r="B8" i="11"/>
  <c r="D10" i="17"/>
  <c r="B6" i="27"/>
  <c r="B7" i="27" s="1"/>
  <c r="F8" i="22"/>
  <c r="B24" i="27"/>
  <c r="B25" i="27" s="1"/>
  <c r="F26" i="22"/>
  <c r="T26" i="1"/>
  <c r="R48" i="27" s="1"/>
  <c r="T48" i="27"/>
  <c r="H15" i="2"/>
  <c r="I15" i="2" s="1"/>
  <c r="F48" i="3"/>
  <c r="H48" i="3" s="1"/>
  <c r="F47" i="3"/>
  <c r="F46" i="3"/>
  <c r="J39" i="3"/>
  <c r="J40" i="3"/>
  <c r="C108" i="3"/>
  <c r="G108" i="3" s="1"/>
  <c r="H108" i="3" s="1"/>
  <c r="C106" i="3"/>
  <c r="G106" i="3" s="1"/>
  <c r="L99" i="3"/>
  <c r="C107" i="3"/>
  <c r="K99" i="3"/>
  <c r="C105" i="3"/>
  <c r="G99" i="3" s="1"/>
  <c r="K102" i="3"/>
  <c r="K101" i="3"/>
  <c r="K100" i="3"/>
  <c r="J111" i="3"/>
  <c r="G16" i="4"/>
  <c r="C96" i="4"/>
  <c r="C93" i="4"/>
  <c r="G87" i="4" s="1"/>
  <c r="L87" i="4"/>
  <c r="K89" i="4"/>
  <c r="K88" i="4"/>
  <c r="C95" i="4"/>
  <c r="C94" i="4"/>
  <c r="G94" i="4" s="1"/>
  <c r="H94" i="4" s="1"/>
  <c r="J28" i="5"/>
  <c r="C22" i="6"/>
  <c r="G120" i="6"/>
  <c r="H120" i="6" s="1"/>
  <c r="F113" i="11"/>
  <c r="G99" i="14"/>
  <c r="K99" i="14" s="1"/>
  <c r="D70" i="16"/>
  <c r="J29" i="5"/>
  <c r="K75" i="5"/>
  <c r="D23" i="6"/>
  <c r="C107" i="6"/>
  <c r="C105" i="6"/>
  <c r="K102" i="6"/>
  <c r="C106" i="6"/>
  <c r="B33" i="7"/>
  <c r="J30" i="7"/>
  <c r="J28" i="7"/>
  <c r="J27" i="7"/>
  <c r="B35" i="7"/>
  <c r="E71" i="10"/>
  <c r="C70" i="10"/>
  <c r="C69" i="10"/>
  <c r="E72" i="10"/>
  <c r="C72" i="10"/>
  <c r="E69" i="10"/>
  <c r="C71" i="10"/>
  <c r="E70" i="10"/>
  <c r="F117" i="3"/>
  <c r="C48" i="6"/>
  <c r="G48" i="6" s="1"/>
  <c r="C36" i="7"/>
  <c r="G36" i="7" s="1"/>
  <c r="K30" i="7"/>
  <c r="K28" i="7"/>
  <c r="C33" i="7"/>
  <c r="K29" i="7"/>
  <c r="K27" i="7"/>
  <c r="C34" i="7"/>
  <c r="D48" i="14"/>
  <c r="C82" i="14"/>
  <c r="E81" i="14"/>
  <c r="C81" i="14"/>
  <c r="G75" i="14" s="1"/>
  <c r="K75" i="14" s="1"/>
  <c r="E84" i="14"/>
  <c r="C84" i="14"/>
  <c r="E83" i="14"/>
  <c r="F77" i="14"/>
  <c r="E82" i="14"/>
  <c r="F75" i="14"/>
  <c r="C83" i="14"/>
  <c r="G65" i="4"/>
  <c r="G95" i="8"/>
  <c r="H95" i="8" s="1"/>
  <c r="G89" i="8"/>
  <c r="G58" i="7"/>
  <c r="F22" i="3"/>
  <c r="J18" i="3"/>
  <c r="F24" i="3"/>
  <c r="H24" i="3" s="1"/>
  <c r="F21" i="3"/>
  <c r="J16" i="3"/>
  <c r="F23" i="3"/>
  <c r="J17" i="3"/>
  <c r="B57" i="3"/>
  <c r="B60" i="3"/>
  <c r="K52" i="3"/>
  <c r="K53" i="3"/>
  <c r="B58" i="3"/>
  <c r="K54" i="3"/>
  <c r="J54" i="3"/>
  <c r="L51" i="3"/>
  <c r="B59" i="3"/>
  <c r="F96" i="3"/>
  <c r="J90" i="3"/>
  <c r="J87" i="3"/>
  <c r="F94" i="3"/>
  <c r="J88" i="3"/>
  <c r="K114" i="3"/>
  <c r="D71" i="4"/>
  <c r="G71" i="4" s="1"/>
  <c r="J65" i="4"/>
  <c r="J64" i="4"/>
  <c r="B69" i="4"/>
  <c r="K66" i="4"/>
  <c r="J66" i="4"/>
  <c r="B72" i="4"/>
  <c r="D69" i="4"/>
  <c r="K64" i="4"/>
  <c r="K65" i="4"/>
  <c r="K63" i="4"/>
  <c r="J63" i="4"/>
  <c r="C48" i="4"/>
  <c r="K42" i="4"/>
  <c r="C47" i="4"/>
  <c r="G47" i="4" s="1"/>
  <c r="K39" i="4"/>
  <c r="C46" i="4"/>
  <c r="G46" i="4" s="1"/>
  <c r="H46" i="4" s="1"/>
  <c r="C45" i="4"/>
  <c r="G39" i="4" s="1"/>
  <c r="J53" i="5"/>
  <c r="J52" i="5"/>
  <c r="J51" i="5"/>
  <c r="B24" i="6"/>
  <c r="K99" i="6"/>
  <c r="G17" i="8"/>
  <c r="M48" i="9"/>
  <c r="M45" i="9"/>
  <c r="M46" i="9"/>
  <c r="M47" i="9"/>
  <c r="B3" i="12"/>
  <c r="F6" i="12" s="1"/>
  <c r="G99" i="12"/>
  <c r="K99" i="12" s="1"/>
  <c r="B63" i="14"/>
  <c r="H96" i="15"/>
  <c r="G30" i="3"/>
  <c r="J18" i="9"/>
  <c r="M71" i="10"/>
  <c r="M69" i="10"/>
  <c r="M70" i="10"/>
  <c r="J15" i="3"/>
  <c r="J51" i="3"/>
  <c r="J16" i="5"/>
  <c r="D58" i="5"/>
  <c r="B58" i="5"/>
  <c r="D59" i="5"/>
  <c r="B59" i="5"/>
  <c r="D60" i="5"/>
  <c r="B60" i="5"/>
  <c r="D57" i="5"/>
  <c r="G57" i="5" s="1"/>
  <c r="G81" i="5"/>
  <c r="C24" i="6"/>
  <c r="L99" i="6"/>
  <c r="H48" i="7"/>
  <c r="M106" i="9"/>
  <c r="M105" i="9"/>
  <c r="M108" i="9"/>
  <c r="M107" i="9"/>
  <c r="K51" i="3"/>
  <c r="C24" i="4"/>
  <c r="L63" i="4"/>
  <c r="J101" i="5"/>
  <c r="J102" i="5"/>
  <c r="J100" i="5"/>
  <c r="J99" i="5"/>
  <c r="L27" i="7"/>
  <c r="G117" i="7"/>
  <c r="G111" i="7"/>
  <c r="D45" i="6"/>
  <c r="B47" i="6"/>
  <c r="K39" i="6"/>
  <c r="D48" i="6"/>
  <c r="D46" i="6"/>
  <c r="B46" i="6"/>
  <c r="K42" i="6"/>
  <c r="B45" i="6"/>
  <c r="K41" i="6"/>
  <c r="J88" i="12"/>
  <c r="H52" i="2"/>
  <c r="I52" i="2" s="1"/>
  <c r="J41" i="3"/>
  <c r="J89" i="3"/>
  <c r="B119" i="3"/>
  <c r="B34" i="5"/>
  <c r="J15" i="14"/>
  <c r="G17" i="2"/>
  <c r="H17" i="2" s="1"/>
  <c r="I17" i="2" s="1"/>
  <c r="K16" i="2"/>
  <c r="G18" i="2"/>
  <c r="K17" i="2"/>
  <c r="K18" i="2"/>
  <c r="G16" i="2"/>
  <c r="H16" i="2" s="1"/>
  <c r="I16" i="2" s="1"/>
  <c r="K15" i="2"/>
  <c r="H82" i="7"/>
  <c r="J65" i="14"/>
  <c r="H65" i="14"/>
  <c r="I65" i="14" s="1"/>
  <c r="G16" i="3"/>
  <c r="G22" i="3"/>
  <c r="G120" i="7"/>
  <c r="G114" i="7"/>
  <c r="H58" i="6"/>
  <c r="J54" i="6"/>
  <c r="J53" i="6"/>
  <c r="H60" i="6"/>
  <c r="J52" i="6"/>
  <c r="J51" i="6"/>
  <c r="G72" i="6"/>
  <c r="K77" i="2"/>
  <c r="G76" i="2"/>
  <c r="K75" i="2"/>
  <c r="G75" i="2"/>
  <c r="G78" i="2"/>
  <c r="K76" i="2"/>
  <c r="G77" i="3"/>
  <c r="G93" i="4"/>
  <c r="H93" i="4" s="1"/>
  <c r="B72" i="5"/>
  <c r="C35" i="7"/>
  <c r="K51" i="7"/>
  <c r="L51" i="7"/>
  <c r="C60" i="7"/>
  <c r="K52" i="7"/>
  <c r="K53" i="7"/>
  <c r="C57" i="7"/>
  <c r="G57" i="7" s="1"/>
  <c r="G100" i="8"/>
  <c r="G106" i="8"/>
  <c r="G15" i="10"/>
  <c r="K15" i="10" s="1"/>
  <c r="C34" i="14"/>
  <c r="G28" i="14" s="1"/>
  <c r="K28" i="14" s="1"/>
  <c r="E36" i="14"/>
  <c r="C36" i="14"/>
  <c r="E34" i="14"/>
  <c r="E33" i="14"/>
  <c r="C33" i="14"/>
  <c r="E35" i="14"/>
  <c r="C35" i="14"/>
  <c r="F118" i="15"/>
  <c r="F117" i="15"/>
  <c r="J114" i="15"/>
  <c r="J113" i="15"/>
  <c r="J111" i="15"/>
  <c r="K40" i="6"/>
  <c r="C23" i="6"/>
  <c r="D47" i="6"/>
  <c r="S70" i="27"/>
  <c r="S68" i="27"/>
  <c r="O68" i="27"/>
  <c r="S71" i="27"/>
  <c r="S69" i="27"/>
  <c r="O69" i="27"/>
  <c r="M72" i="10"/>
  <c r="J76" i="2"/>
  <c r="F76" i="2"/>
  <c r="H76" i="2" s="1"/>
  <c r="I76" i="2" s="1"/>
  <c r="F75" i="2"/>
  <c r="J78" i="2"/>
  <c r="F78" i="2"/>
  <c r="J77" i="2"/>
  <c r="B36" i="4"/>
  <c r="K30" i="4"/>
  <c r="D36" i="4"/>
  <c r="K29" i="4"/>
  <c r="J29" i="4"/>
  <c r="J30" i="4"/>
  <c r="K28" i="4"/>
  <c r="D35" i="4"/>
  <c r="L27" i="4"/>
  <c r="J27" i="4"/>
  <c r="B35" i="4"/>
  <c r="K27" i="4"/>
  <c r="B34" i="4"/>
  <c r="J28" i="4"/>
  <c r="C106" i="5"/>
  <c r="L99" i="5"/>
  <c r="C105" i="5"/>
  <c r="C108" i="5"/>
  <c r="B34" i="7"/>
  <c r="H117" i="7"/>
  <c r="S84" i="27"/>
  <c r="S42" i="1"/>
  <c r="Q84" i="27" s="1"/>
  <c r="G69" i="3"/>
  <c r="G63" i="3"/>
  <c r="B70" i="4"/>
  <c r="C117" i="4"/>
  <c r="G117" i="4" s="1"/>
  <c r="H117" i="4" s="1"/>
  <c r="L111" i="4"/>
  <c r="C118" i="4"/>
  <c r="C120" i="4"/>
  <c r="K114" i="4"/>
  <c r="D48" i="5"/>
  <c r="B48" i="5"/>
  <c r="B47" i="5"/>
  <c r="D46" i="5"/>
  <c r="D47" i="5"/>
  <c r="L39" i="5"/>
  <c r="D45" i="5"/>
  <c r="B45" i="5"/>
  <c r="B46" i="5"/>
  <c r="J54" i="5"/>
  <c r="G113" i="7"/>
  <c r="G119" i="7"/>
  <c r="F27" i="14"/>
  <c r="B111" i="17"/>
  <c r="J114" i="17" s="1"/>
  <c r="D118" i="16"/>
  <c r="B118" i="16"/>
  <c r="B111" i="11"/>
  <c r="G113" i="11" s="1"/>
  <c r="J113" i="11" s="1"/>
  <c r="B84" i="27"/>
  <c r="C118" i="17"/>
  <c r="B111" i="16"/>
  <c r="K114" i="16" s="1"/>
  <c r="C118" i="15"/>
  <c r="B118" i="15"/>
  <c r="B111" i="15"/>
  <c r="B116" i="12"/>
  <c r="C118" i="16"/>
  <c r="B116" i="11"/>
  <c r="B111" i="14"/>
  <c r="D118" i="17"/>
  <c r="B118" i="17"/>
  <c r="D118" i="15"/>
  <c r="B111" i="12"/>
  <c r="B111" i="13"/>
  <c r="F111" i="13" s="1"/>
  <c r="H111" i="13" s="1"/>
  <c r="I111" i="13" s="1"/>
  <c r="B116" i="14"/>
  <c r="J87" i="2"/>
  <c r="J90" i="2"/>
  <c r="F88" i="2"/>
  <c r="J17" i="4"/>
  <c r="J15" i="4"/>
  <c r="J16" i="4"/>
  <c r="G12" i="5"/>
  <c r="H12" i="5" s="1"/>
  <c r="C69" i="5"/>
  <c r="L63" i="5"/>
  <c r="C70" i="5"/>
  <c r="C71" i="5"/>
  <c r="C93" i="5"/>
  <c r="C94" i="5"/>
  <c r="L87" i="5"/>
  <c r="C96" i="5"/>
  <c r="C70" i="6"/>
  <c r="G70" i="6" s="1"/>
  <c r="H70" i="6" s="1"/>
  <c r="C71" i="6"/>
  <c r="L63" i="6"/>
  <c r="K63" i="6"/>
  <c r="G59" i="8"/>
  <c r="H59" i="8" s="1"/>
  <c r="G90" i="8"/>
  <c r="J40" i="10"/>
  <c r="K75" i="13"/>
  <c r="K76" i="13"/>
  <c r="K77" i="13"/>
  <c r="K78" i="13"/>
  <c r="K42" i="15"/>
  <c r="G39" i="15"/>
  <c r="G47" i="15"/>
  <c r="G46" i="15"/>
  <c r="G40" i="15"/>
  <c r="G48" i="15"/>
  <c r="H48" i="15" s="1"/>
  <c r="K39" i="15"/>
  <c r="G42" i="15"/>
  <c r="K41" i="15"/>
  <c r="G41" i="15"/>
  <c r="K40" i="15"/>
  <c r="G45" i="15"/>
  <c r="H45" i="15" s="1"/>
  <c r="K78" i="15"/>
  <c r="G75" i="15"/>
  <c r="K75" i="15"/>
  <c r="G76" i="15"/>
  <c r="G83" i="15"/>
  <c r="H83" i="15" s="1"/>
  <c r="G82" i="15"/>
  <c r="H82" i="15" s="1"/>
  <c r="K77" i="15"/>
  <c r="G77" i="15"/>
  <c r="G81" i="15"/>
  <c r="H81" i="15" s="1"/>
  <c r="G78" i="15"/>
  <c r="G84" i="15"/>
  <c r="H84" i="15" s="1"/>
  <c r="K17" i="16"/>
  <c r="O41" i="27"/>
  <c r="S42" i="27"/>
  <c r="O42" i="27"/>
  <c r="S43" i="27"/>
  <c r="S44" i="27"/>
  <c r="S41" i="27"/>
  <c r="F89" i="22"/>
  <c r="B87" i="27"/>
  <c r="B88" i="27" s="1"/>
  <c r="H54" i="2"/>
  <c r="I54" i="2" s="1"/>
  <c r="G89" i="2"/>
  <c r="H89" i="2" s="1"/>
  <c r="I89" i="2" s="1"/>
  <c r="K88" i="2"/>
  <c r="G88" i="2"/>
  <c r="K87" i="2"/>
  <c r="G87" i="2"/>
  <c r="H87" i="2" s="1"/>
  <c r="I87" i="2" s="1"/>
  <c r="K15" i="4"/>
  <c r="D24" i="4"/>
  <c r="B24" i="4"/>
  <c r="K16" i="4"/>
  <c r="D23" i="4"/>
  <c r="H22" i="4"/>
  <c r="J42" i="5"/>
  <c r="J39" i="5"/>
  <c r="J40" i="6"/>
  <c r="J39" i="6"/>
  <c r="F88" i="9"/>
  <c r="H99" i="14"/>
  <c r="I99" i="14" s="1"/>
  <c r="J99" i="14"/>
  <c r="T90" i="27"/>
  <c r="T89" i="27"/>
  <c r="T88" i="27"/>
  <c r="T86" i="27"/>
  <c r="P86" i="27"/>
  <c r="T87" i="27"/>
  <c r="P87" i="27"/>
  <c r="J54" i="2"/>
  <c r="F51" i="2"/>
  <c r="H51" i="2" s="1"/>
  <c r="I51" i="2" s="1"/>
  <c r="F53" i="2"/>
  <c r="H53" i="2" s="1"/>
  <c r="I53" i="2" s="1"/>
  <c r="J88" i="2"/>
  <c r="H69" i="3"/>
  <c r="F118" i="3"/>
  <c r="F120" i="3"/>
  <c r="J112" i="3"/>
  <c r="C21" i="5"/>
  <c r="C23" i="5"/>
  <c r="G23" i="5" s="1"/>
  <c r="C24" i="5"/>
  <c r="G24" i="5" s="1"/>
  <c r="C22" i="5"/>
  <c r="L15" i="5"/>
  <c r="G17" i="5"/>
  <c r="D105" i="5"/>
  <c r="B105" i="5"/>
  <c r="D106" i="5"/>
  <c r="G106" i="5" s="1"/>
  <c r="B107" i="5"/>
  <c r="C72" i="6"/>
  <c r="G87" i="6"/>
  <c r="H58" i="7"/>
  <c r="G27" i="8"/>
  <c r="G33" i="8"/>
  <c r="H33" i="8" s="1"/>
  <c r="G45" i="8"/>
  <c r="G53" i="8"/>
  <c r="G63" i="8"/>
  <c r="B104" i="13"/>
  <c r="K76" i="15"/>
  <c r="F114" i="17"/>
  <c r="J112" i="17"/>
  <c r="G28" i="2"/>
  <c r="H28" i="2" s="1"/>
  <c r="I28" i="2" s="1"/>
  <c r="K29" i="2"/>
  <c r="J51" i="2"/>
  <c r="B93" i="3"/>
  <c r="L87" i="3"/>
  <c r="K87" i="3"/>
  <c r="B94" i="3"/>
  <c r="K90" i="3"/>
  <c r="J111" i="4"/>
  <c r="J114" i="4"/>
  <c r="G6" i="5"/>
  <c r="G18" i="5"/>
  <c r="B84" i="5"/>
  <c r="D82" i="5"/>
  <c r="B82" i="5"/>
  <c r="L75" i="5"/>
  <c r="H81" i="5"/>
  <c r="B108" i="5"/>
  <c r="J41" i="6"/>
  <c r="J78" i="6"/>
  <c r="J76" i="6"/>
  <c r="J77" i="6"/>
  <c r="G93" i="6"/>
  <c r="G3" i="7"/>
  <c r="B47" i="7"/>
  <c r="B46" i="7"/>
  <c r="G111" i="8"/>
  <c r="G117" i="8"/>
  <c r="F70" i="10"/>
  <c r="F72" i="10"/>
  <c r="N69" i="10"/>
  <c r="D72" i="10"/>
  <c r="L69" i="10"/>
  <c r="F63" i="10" s="1"/>
  <c r="N71" i="10"/>
  <c r="B69" i="10"/>
  <c r="G63" i="10" s="1"/>
  <c r="K63" i="10" s="1"/>
  <c r="L70" i="10"/>
  <c r="D70" i="10"/>
  <c r="L71" i="10"/>
  <c r="F71" i="10"/>
  <c r="N70" i="10"/>
  <c r="D71" i="10"/>
  <c r="F69" i="10"/>
  <c r="D69" i="10"/>
  <c r="F57" i="15"/>
  <c r="H57" i="15" s="1"/>
  <c r="F60" i="15"/>
  <c r="H60" i="15" s="1"/>
  <c r="J52" i="15"/>
  <c r="F59" i="15"/>
  <c r="H59" i="15" s="1"/>
  <c r="J51" i="15"/>
  <c r="F58" i="15"/>
  <c r="H58" i="15" s="1"/>
  <c r="J54" i="15"/>
  <c r="J53" i="15"/>
  <c r="D106" i="17"/>
  <c r="C106" i="17"/>
  <c r="B106" i="17"/>
  <c r="B75" i="27"/>
  <c r="D106" i="16"/>
  <c r="C106" i="16"/>
  <c r="B106" i="16"/>
  <c r="D106" i="15"/>
  <c r="B99" i="16"/>
  <c r="F99" i="16" s="1"/>
  <c r="H99" i="16" s="1"/>
  <c r="I99" i="16" s="1"/>
  <c r="B104" i="11"/>
  <c r="B104" i="14"/>
  <c r="B99" i="14"/>
  <c r="B99" i="13"/>
  <c r="G102" i="13" s="1"/>
  <c r="B99" i="17"/>
  <c r="B99" i="15"/>
  <c r="B104" i="12"/>
  <c r="B99" i="11"/>
  <c r="C106" i="15"/>
  <c r="B106" i="15"/>
  <c r="J89" i="2"/>
  <c r="C70" i="3"/>
  <c r="G70" i="3" s="1"/>
  <c r="H70" i="3" s="1"/>
  <c r="L63" i="3"/>
  <c r="C69" i="3"/>
  <c r="K65" i="3"/>
  <c r="F119" i="3"/>
  <c r="K112" i="4"/>
  <c r="D118" i="4"/>
  <c r="D117" i="4"/>
  <c r="K111" i="4"/>
  <c r="B118" i="4"/>
  <c r="K113" i="4"/>
  <c r="H119" i="4"/>
  <c r="G83" i="5"/>
  <c r="H83" i="5" s="1"/>
  <c r="G59" i="6"/>
  <c r="B84" i="6"/>
  <c r="D82" i="6"/>
  <c r="B82" i="6"/>
  <c r="D84" i="6"/>
  <c r="K77" i="6"/>
  <c r="K76" i="6"/>
  <c r="D83" i="6"/>
  <c r="B83" i="6"/>
  <c r="C47" i="7"/>
  <c r="C46" i="7"/>
  <c r="K42" i="7"/>
  <c r="K41" i="7"/>
  <c r="J52" i="7"/>
  <c r="J53" i="7"/>
  <c r="J51" i="7"/>
  <c r="H23" i="8"/>
  <c r="J51" i="10"/>
  <c r="K39" i="13"/>
  <c r="K40" i="13"/>
  <c r="K42" i="13"/>
  <c r="K41" i="13"/>
  <c r="F4" i="2"/>
  <c r="H4" i="2" s="1"/>
  <c r="I4" i="2" s="1"/>
  <c r="J3" i="2"/>
  <c r="F6" i="2"/>
  <c r="J5" i="2"/>
  <c r="J6" i="2"/>
  <c r="G90" i="2"/>
  <c r="H90" i="2" s="1"/>
  <c r="I90" i="2" s="1"/>
  <c r="K63" i="3"/>
  <c r="G95" i="3"/>
  <c r="B120" i="4"/>
  <c r="D10" i="5"/>
  <c r="B10" i="5"/>
  <c r="B11" i="5"/>
  <c r="C34" i="5"/>
  <c r="L27" i="5"/>
  <c r="C33" i="5"/>
  <c r="C35" i="5"/>
  <c r="C59" i="5"/>
  <c r="C58" i="5"/>
  <c r="L51" i="5"/>
  <c r="C60" i="5"/>
  <c r="J113" i="5"/>
  <c r="J112" i="5"/>
  <c r="G63" i="6"/>
  <c r="J89" i="6"/>
  <c r="H120" i="7"/>
  <c r="J111" i="7"/>
  <c r="J113" i="7"/>
  <c r="J114" i="7"/>
  <c r="B70" i="10"/>
  <c r="G64" i="10" s="1"/>
  <c r="K64" i="10" s="1"/>
  <c r="G89" i="10"/>
  <c r="K89" i="10" s="1"/>
  <c r="B116" i="13"/>
  <c r="D82" i="17"/>
  <c r="B82" i="17"/>
  <c r="F76" i="17" s="1"/>
  <c r="B57" i="27"/>
  <c r="C82" i="16"/>
  <c r="B80" i="14"/>
  <c r="B75" i="12"/>
  <c r="B75" i="17"/>
  <c r="D82" i="16"/>
  <c r="G75" i="16" s="1"/>
  <c r="C82" i="15"/>
  <c r="B80" i="12"/>
  <c r="B75" i="15"/>
  <c r="B80" i="13"/>
  <c r="B75" i="11"/>
  <c r="C82" i="17"/>
  <c r="B75" i="13"/>
  <c r="F76" i="13" s="1"/>
  <c r="B75" i="14"/>
  <c r="B80" i="11"/>
  <c r="D82" i="15"/>
  <c r="B82" i="15"/>
  <c r="B82" i="16"/>
  <c r="G6" i="2"/>
  <c r="K6" i="2"/>
  <c r="C72" i="3"/>
  <c r="G72" i="3" s="1"/>
  <c r="H72" i="3" s="1"/>
  <c r="K17" i="4"/>
  <c r="D82" i="4"/>
  <c r="G76" i="4" s="1"/>
  <c r="K76" i="4"/>
  <c r="B81" i="4"/>
  <c r="K78" i="4"/>
  <c r="J78" i="4"/>
  <c r="D81" i="4"/>
  <c r="G96" i="4"/>
  <c r="H96" i="4" s="1"/>
  <c r="D119" i="5"/>
  <c r="B119" i="5"/>
  <c r="B120" i="5"/>
  <c r="D118" i="5"/>
  <c r="J42" i="6"/>
  <c r="C69" i="6"/>
  <c r="G69" i="6" s="1"/>
  <c r="H69" i="6" s="1"/>
  <c r="J75" i="6"/>
  <c r="K88" i="6"/>
  <c r="D96" i="6"/>
  <c r="K90" i="6"/>
  <c r="K89" i="6"/>
  <c r="B94" i="6"/>
  <c r="K40" i="7"/>
  <c r="B118" i="7"/>
  <c r="L111" i="7"/>
  <c r="K111" i="7"/>
  <c r="K112" i="7"/>
  <c r="C9" i="8"/>
  <c r="K6" i="8"/>
  <c r="K5" i="8"/>
  <c r="K4" i="8"/>
  <c r="H96" i="8"/>
  <c r="G108" i="8"/>
  <c r="G102" i="8"/>
  <c r="J77" i="16"/>
  <c r="B12" i="27"/>
  <c r="B22" i="17"/>
  <c r="B22" i="15"/>
  <c r="B20" i="13"/>
  <c r="B15" i="11"/>
  <c r="D22" i="16"/>
  <c r="B15" i="14"/>
  <c r="B15" i="12"/>
  <c r="G16" i="12" s="1"/>
  <c r="K16" i="12" s="1"/>
  <c r="B20" i="12"/>
  <c r="B15" i="17"/>
  <c r="F15" i="17" s="1"/>
  <c r="D22" i="17"/>
  <c r="C22" i="17"/>
  <c r="B20" i="14"/>
  <c r="B15" i="15"/>
  <c r="D22" i="15"/>
  <c r="C22" i="15"/>
  <c r="J112" i="4"/>
  <c r="K30" i="22"/>
  <c r="K33" i="22"/>
  <c r="G3" i="2"/>
  <c r="K90" i="2"/>
  <c r="K102" i="2"/>
  <c r="K88" i="3"/>
  <c r="K18" i="4"/>
  <c r="B58" i="4"/>
  <c r="K51" i="4"/>
  <c r="B60" i="4"/>
  <c r="D59" i="4"/>
  <c r="D83" i="4"/>
  <c r="D84" i="5"/>
  <c r="D120" i="5"/>
  <c r="G30" i="6"/>
  <c r="G53" i="6"/>
  <c r="J87" i="6"/>
  <c r="B96" i="6"/>
  <c r="G72" i="7"/>
  <c r="G66" i="7"/>
  <c r="D35" i="8"/>
  <c r="K29" i="8"/>
  <c r="B35" i="8"/>
  <c r="D34" i="8"/>
  <c r="B34" i="8"/>
  <c r="K27" i="8"/>
  <c r="B36" i="8"/>
  <c r="D36" i="8"/>
  <c r="B46" i="8"/>
  <c r="D46" i="8"/>
  <c r="K39" i="8"/>
  <c r="K41" i="8"/>
  <c r="B48" i="8"/>
  <c r="K40" i="8"/>
  <c r="K42" i="8"/>
  <c r="D108" i="8"/>
  <c r="B105" i="8"/>
  <c r="B107" i="8"/>
  <c r="K99" i="8"/>
  <c r="D105" i="8"/>
  <c r="K102" i="8"/>
  <c r="J102" i="8"/>
  <c r="K101" i="8"/>
  <c r="J101" i="8"/>
  <c r="B71" i="10"/>
  <c r="G65" i="10" s="1"/>
  <c r="K65" i="10" s="1"/>
  <c r="G99" i="10"/>
  <c r="K99" i="10" s="1"/>
  <c r="B15" i="13"/>
  <c r="J90" i="14"/>
  <c r="S22" i="1"/>
  <c r="Q39" i="27" s="1"/>
  <c r="B60" i="27"/>
  <c r="B61" i="27" s="1"/>
  <c r="F62" i="22"/>
  <c r="F3" i="2"/>
  <c r="K27" i="2"/>
  <c r="J52" i="2"/>
  <c r="B96" i="3"/>
  <c r="J18" i="4"/>
  <c r="J53" i="4"/>
  <c r="J54" i="4"/>
  <c r="C82" i="4"/>
  <c r="G82" i="4" s="1"/>
  <c r="C83" i="4"/>
  <c r="B83" i="4"/>
  <c r="D120" i="4"/>
  <c r="J76" i="5"/>
  <c r="C117" i="5"/>
  <c r="G111" i="5" s="1"/>
  <c r="C119" i="5"/>
  <c r="L111" i="5"/>
  <c r="C120" i="5"/>
  <c r="K75" i="6"/>
  <c r="D95" i="6"/>
  <c r="G89" i="6" s="1"/>
  <c r="G82" i="7"/>
  <c r="G76" i="7"/>
  <c r="S30" i="27"/>
  <c r="S18" i="1"/>
  <c r="Q30" i="27" s="1"/>
  <c r="S17" i="27"/>
  <c r="O14" i="27"/>
  <c r="S14" i="27"/>
  <c r="S16" i="27"/>
  <c r="S15" i="27"/>
  <c r="T30" i="27"/>
  <c r="T18" i="1"/>
  <c r="R30" i="27" s="1"/>
  <c r="H41" i="2"/>
  <c r="I41" i="2" s="1"/>
  <c r="F113" i="2"/>
  <c r="H113" i="2" s="1"/>
  <c r="I113" i="2" s="1"/>
  <c r="J112" i="2"/>
  <c r="J111" i="2"/>
  <c r="F111" i="2"/>
  <c r="H111" i="2" s="1"/>
  <c r="I111" i="2" s="1"/>
  <c r="F112" i="2"/>
  <c r="H112" i="2" s="1"/>
  <c r="I112" i="2" s="1"/>
  <c r="K64" i="3"/>
  <c r="J113" i="3"/>
  <c r="J3" i="4"/>
  <c r="B21" i="4"/>
  <c r="C57" i="4"/>
  <c r="G57" i="4" s="1"/>
  <c r="C59" i="4"/>
  <c r="J3" i="5"/>
  <c r="D11" i="5"/>
  <c r="C36" i="5"/>
  <c r="G77" i="5"/>
  <c r="J4" i="6"/>
  <c r="J5" i="6"/>
  <c r="K87" i="6"/>
  <c r="J4" i="7"/>
  <c r="C12" i="8"/>
  <c r="L39" i="8"/>
  <c r="C46" i="8"/>
  <c r="C48" i="8"/>
  <c r="C47" i="8"/>
  <c r="G41" i="8" s="1"/>
  <c r="F28" i="9"/>
  <c r="M119" i="9"/>
  <c r="F113" i="9" s="1"/>
  <c r="M120" i="9"/>
  <c r="J15" i="13"/>
  <c r="J17" i="13"/>
  <c r="J16" i="13"/>
  <c r="J18" i="13"/>
  <c r="F42" i="17"/>
  <c r="B15" i="27"/>
  <c r="B16" i="27" s="1"/>
  <c r="T17" i="27"/>
  <c r="T14" i="27"/>
  <c r="P14" i="27"/>
  <c r="T15" i="27"/>
  <c r="P15" i="27"/>
  <c r="T18" i="27"/>
  <c r="T16" i="27"/>
  <c r="D58" i="17"/>
  <c r="B39" i="27"/>
  <c r="B56" i="13"/>
  <c r="B56" i="11"/>
  <c r="B51" i="16"/>
  <c r="G54" i="16" s="1"/>
  <c r="B51" i="12"/>
  <c r="C58" i="17"/>
  <c r="B51" i="14"/>
  <c r="B58" i="15"/>
  <c r="D58" i="16"/>
  <c r="B51" i="13"/>
  <c r="B51" i="11"/>
  <c r="D58" i="15"/>
  <c r="B51" i="15"/>
  <c r="B51" i="17"/>
  <c r="F52" i="17" s="1"/>
  <c r="B56" i="14"/>
  <c r="C58" i="16"/>
  <c r="B58" i="16"/>
  <c r="G100" i="3"/>
  <c r="L3" i="4"/>
  <c r="B11" i="6"/>
  <c r="D10" i="6"/>
  <c r="B10" i="6"/>
  <c r="K4" i="6"/>
  <c r="D12" i="6"/>
  <c r="K5" i="6"/>
  <c r="B9" i="6"/>
  <c r="S59" i="27"/>
  <c r="S60" i="27"/>
  <c r="O60" i="27"/>
  <c r="S61" i="27"/>
  <c r="O59" i="27"/>
  <c r="S62" i="27"/>
  <c r="F107" i="3"/>
  <c r="J99" i="3"/>
  <c r="G59" i="4"/>
  <c r="D22" i="5"/>
  <c r="B22" i="5"/>
  <c r="J111" i="5"/>
  <c r="G64" i="6"/>
  <c r="L87" i="6"/>
  <c r="B11" i="7"/>
  <c r="B12" i="7"/>
  <c r="J77" i="7"/>
  <c r="J76" i="7"/>
  <c r="L3" i="8"/>
  <c r="G39" i="8"/>
  <c r="C119" i="9"/>
  <c r="G113" i="9" s="1"/>
  <c r="K113" i="9" s="1"/>
  <c r="C120" i="9"/>
  <c r="E119" i="9"/>
  <c r="E120" i="9"/>
  <c r="E117" i="9"/>
  <c r="C117" i="9"/>
  <c r="C118" i="9"/>
  <c r="G112" i="9" s="1"/>
  <c r="K112" i="9" s="1"/>
  <c r="B72" i="10"/>
  <c r="G87" i="10"/>
  <c r="K87" i="10" s="1"/>
  <c r="G114" i="10"/>
  <c r="K114" i="10" s="1"/>
  <c r="T42" i="1"/>
  <c r="R84" i="27" s="1"/>
  <c r="K3" i="2"/>
  <c r="K28" i="2"/>
  <c r="H99" i="2"/>
  <c r="I99" i="2" s="1"/>
  <c r="B33" i="3"/>
  <c r="F34" i="3"/>
  <c r="J27" i="3"/>
  <c r="B34" i="3"/>
  <c r="K30" i="3"/>
  <c r="F59" i="3"/>
  <c r="J52" i="3"/>
  <c r="F58" i="3"/>
  <c r="F57" i="3"/>
  <c r="J53" i="3"/>
  <c r="K75" i="3"/>
  <c r="L75" i="3"/>
  <c r="C81" i="3"/>
  <c r="K78" i="3"/>
  <c r="K76" i="3"/>
  <c r="C84" i="3"/>
  <c r="G78" i="3" s="1"/>
  <c r="F106" i="3"/>
  <c r="H106" i="3" s="1"/>
  <c r="J114" i="3"/>
  <c r="D21" i="4"/>
  <c r="J51" i="4"/>
  <c r="J75" i="4"/>
  <c r="G90" i="4"/>
  <c r="H107" i="4"/>
  <c r="K101" i="4"/>
  <c r="B106" i="4"/>
  <c r="J99" i="4"/>
  <c r="D105" i="4"/>
  <c r="G105" i="4" s="1"/>
  <c r="J100" i="4"/>
  <c r="B108" i="4"/>
  <c r="J113" i="4"/>
  <c r="B21" i="5"/>
  <c r="J64" i="5"/>
  <c r="J66" i="5"/>
  <c r="J77" i="5"/>
  <c r="C11" i="6"/>
  <c r="C12" i="6"/>
  <c r="K78" i="6"/>
  <c r="K3" i="7"/>
  <c r="C9" i="7"/>
  <c r="G9" i="7" s="1"/>
  <c r="K6" i="7"/>
  <c r="C11" i="7"/>
  <c r="K4" i="7"/>
  <c r="L3" i="7"/>
  <c r="K5" i="7"/>
  <c r="J54" i="7"/>
  <c r="G84" i="7"/>
  <c r="H84" i="7" s="1"/>
  <c r="G78" i="7"/>
  <c r="J112" i="7"/>
  <c r="K28" i="8"/>
  <c r="G76" i="8"/>
  <c r="G82" i="8"/>
  <c r="H82" i="8" s="1"/>
  <c r="J99" i="8"/>
  <c r="H119" i="8"/>
  <c r="M71" i="9"/>
  <c r="M70" i="9"/>
  <c r="F66" i="9"/>
  <c r="G100" i="9"/>
  <c r="K100" i="9" s="1"/>
  <c r="L72" i="10"/>
  <c r="F66" i="10" s="1"/>
  <c r="B20" i="11"/>
  <c r="G51" i="12"/>
  <c r="K51" i="12" s="1"/>
  <c r="G52" i="12"/>
  <c r="K52" i="12" s="1"/>
  <c r="G111" i="14"/>
  <c r="K111" i="14" s="1"/>
  <c r="B15" i="16"/>
  <c r="J16" i="16" s="1"/>
  <c r="J41" i="17"/>
  <c r="M11" i="10"/>
  <c r="M12" i="10"/>
  <c r="M9" i="10"/>
  <c r="D9" i="4"/>
  <c r="K3" i="4"/>
  <c r="B11" i="4"/>
  <c r="K4" i="4"/>
  <c r="D12" i="4"/>
  <c r="B24" i="7"/>
  <c r="K16" i="7"/>
  <c r="B23" i="7"/>
  <c r="B22" i="7"/>
  <c r="B59" i="7"/>
  <c r="B60" i="7"/>
  <c r="K89" i="7"/>
  <c r="L87" i="7"/>
  <c r="K90" i="7"/>
  <c r="C95" i="7"/>
  <c r="G95" i="7" s="1"/>
  <c r="H95" i="7" s="1"/>
  <c r="J29" i="8"/>
  <c r="J27" i="8"/>
  <c r="J28" i="8"/>
  <c r="J15" i="9"/>
  <c r="E9" i="10"/>
  <c r="C12" i="10"/>
  <c r="C9" i="10"/>
  <c r="E10" i="10"/>
  <c r="C10" i="10"/>
  <c r="C11" i="10"/>
  <c r="F16" i="10"/>
  <c r="F102" i="12"/>
  <c r="G100" i="12"/>
  <c r="K100" i="12" s="1"/>
  <c r="F100" i="12"/>
  <c r="G101" i="12"/>
  <c r="K101" i="12" s="1"/>
  <c r="F101" i="12"/>
  <c r="G29" i="13"/>
  <c r="F29" i="13"/>
  <c r="G28" i="13"/>
  <c r="G27" i="13"/>
  <c r="F27" i="13"/>
  <c r="J114" i="14"/>
  <c r="F94" i="15"/>
  <c r="H94" i="15" s="1"/>
  <c r="J87" i="15"/>
  <c r="F95" i="15"/>
  <c r="H95" i="15" s="1"/>
  <c r="J88" i="15"/>
  <c r="J90" i="15"/>
  <c r="J89" i="15"/>
  <c r="F105" i="15"/>
  <c r="H105" i="15" s="1"/>
  <c r="J102" i="15"/>
  <c r="O24" i="27"/>
  <c r="S25" i="27"/>
  <c r="S26" i="27"/>
  <c r="S23" i="27"/>
  <c r="O23" i="27"/>
  <c r="S24" i="27"/>
  <c r="T42" i="27"/>
  <c r="T45" i="27"/>
  <c r="T43" i="27"/>
  <c r="P42" i="27"/>
  <c r="T44" i="27"/>
  <c r="T41" i="27"/>
  <c r="P41" i="27"/>
  <c r="B78" i="27"/>
  <c r="B79" i="27" s="1"/>
  <c r="F80" i="22"/>
  <c r="F40" i="2"/>
  <c r="H40" i="2" s="1"/>
  <c r="I40" i="2" s="1"/>
  <c r="J41" i="2"/>
  <c r="G40" i="3"/>
  <c r="G46" i="3"/>
  <c r="D10" i="4"/>
  <c r="C9" i="5"/>
  <c r="C10" i="5"/>
  <c r="L3" i="5"/>
  <c r="J112" i="6"/>
  <c r="C96" i="7"/>
  <c r="J66" i="8"/>
  <c r="H70" i="8"/>
  <c r="J63" i="8"/>
  <c r="G16" i="9"/>
  <c r="K16" i="9" s="1"/>
  <c r="D33" i="9"/>
  <c r="G27" i="9" s="1"/>
  <c r="K27" i="9" s="1"/>
  <c r="D36" i="9"/>
  <c r="L33" i="9"/>
  <c r="F36" i="9"/>
  <c r="D35" i="9"/>
  <c r="B35" i="9"/>
  <c r="N34" i="9"/>
  <c r="N36" i="9"/>
  <c r="L36" i="9"/>
  <c r="F30" i="9" s="1"/>
  <c r="F35" i="9"/>
  <c r="F33" i="9"/>
  <c r="L35" i="9"/>
  <c r="G41" i="9"/>
  <c r="K41" i="9" s="1"/>
  <c r="B119" i="10"/>
  <c r="L119" i="10"/>
  <c r="F113" i="10" s="1"/>
  <c r="B117" i="10"/>
  <c r="F118" i="10"/>
  <c r="D118" i="10"/>
  <c r="N118" i="10"/>
  <c r="L118" i="10"/>
  <c r="F112" i="10" s="1"/>
  <c r="N120" i="10"/>
  <c r="F114" i="10" s="1"/>
  <c r="L117" i="10"/>
  <c r="F111" i="10" s="1"/>
  <c r="F120" i="10"/>
  <c r="D117" i="10"/>
  <c r="D119" i="10"/>
  <c r="B118" i="10"/>
  <c r="N117" i="10"/>
  <c r="N119" i="10"/>
  <c r="P24" i="27"/>
  <c r="T27" i="27"/>
  <c r="T25" i="27"/>
  <c r="T26" i="27"/>
  <c r="T24" i="27"/>
  <c r="P23" i="27"/>
  <c r="T23" i="27"/>
  <c r="F29" i="2"/>
  <c r="H29" i="2" s="1"/>
  <c r="I29" i="2" s="1"/>
  <c r="F30" i="2"/>
  <c r="H30" i="2" s="1"/>
  <c r="I30" i="2" s="1"/>
  <c r="J29" i="2"/>
  <c r="H100" i="2"/>
  <c r="I100" i="2" s="1"/>
  <c r="G18" i="3"/>
  <c r="K40" i="4"/>
  <c r="D46" i="4"/>
  <c r="G40" i="4" s="1"/>
  <c r="J42" i="4"/>
  <c r="K41" i="4"/>
  <c r="D48" i="4"/>
  <c r="J41" i="4"/>
  <c r="B48" i="4"/>
  <c r="C11" i="5"/>
  <c r="D118" i="6"/>
  <c r="B118" i="6"/>
  <c r="D119" i="6"/>
  <c r="K112" i="6"/>
  <c r="B119" i="6"/>
  <c r="J40" i="8"/>
  <c r="J39" i="8"/>
  <c r="N35" i="9"/>
  <c r="C96" i="9"/>
  <c r="C95" i="9"/>
  <c r="G89" i="9" s="1"/>
  <c r="K89" i="9" s="1"/>
  <c r="C94" i="9"/>
  <c r="E95" i="9"/>
  <c r="E94" i="9"/>
  <c r="E93" i="9"/>
  <c r="E96" i="9"/>
  <c r="G27" i="10"/>
  <c r="J6" i="11"/>
  <c r="G102" i="11"/>
  <c r="J102" i="11" s="1"/>
  <c r="G102" i="12"/>
  <c r="K102" i="12" s="1"/>
  <c r="F30" i="13"/>
  <c r="F95" i="9"/>
  <c r="B93" i="9"/>
  <c r="F94" i="9"/>
  <c r="N96" i="9"/>
  <c r="F90" i="9" s="1"/>
  <c r="D94" i="9"/>
  <c r="D93" i="9"/>
  <c r="N94" i="9"/>
  <c r="B94" i="9"/>
  <c r="G88" i="9" s="1"/>
  <c r="K88" i="9" s="1"/>
  <c r="N93" i="9"/>
  <c r="B96" i="9"/>
  <c r="L95" i="9"/>
  <c r="F89" i="9" s="1"/>
  <c r="D95" i="9"/>
  <c r="L93" i="9"/>
  <c r="F87" i="9" s="1"/>
  <c r="D96" i="9"/>
  <c r="J40" i="14"/>
  <c r="H40" i="14"/>
  <c r="I40" i="14" s="1"/>
  <c r="J40" i="15"/>
  <c r="F47" i="15"/>
  <c r="J41" i="15"/>
  <c r="J39" i="15"/>
  <c r="F46" i="15"/>
  <c r="H46" i="15" s="1"/>
  <c r="J42" i="15"/>
  <c r="M35" i="9"/>
  <c r="M33" i="9"/>
  <c r="E45" i="9"/>
  <c r="C45" i="9"/>
  <c r="E46" i="9"/>
  <c r="C46" i="9"/>
  <c r="C72" i="9"/>
  <c r="G66" i="9" s="1"/>
  <c r="K66" i="9" s="1"/>
  <c r="E69" i="9"/>
  <c r="E72" i="9"/>
  <c r="E70" i="9"/>
  <c r="E71" i="9"/>
  <c r="C71" i="9"/>
  <c r="F114" i="9"/>
  <c r="F29" i="10"/>
  <c r="K76" i="16"/>
  <c r="C36" i="9"/>
  <c r="E33" i="9"/>
  <c r="C35" i="9"/>
  <c r="N47" i="9"/>
  <c r="L47" i="9"/>
  <c r="N46" i="9"/>
  <c r="L46" i="9"/>
  <c r="F40" i="9" s="1"/>
  <c r="D46" i="9"/>
  <c r="B46" i="9"/>
  <c r="N45" i="9"/>
  <c r="L69" i="9"/>
  <c r="F63" i="9" s="1"/>
  <c r="N71" i="9"/>
  <c r="F65" i="9" s="1"/>
  <c r="F69" i="9"/>
  <c r="L70" i="9"/>
  <c r="F64" i="9" s="1"/>
  <c r="F71" i="9"/>
  <c r="D71" i="9"/>
  <c r="G65" i="9" s="1"/>
  <c r="K65" i="9" s="1"/>
  <c r="B70" i="9"/>
  <c r="G64" i="9" s="1"/>
  <c r="K64" i="9" s="1"/>
  <c r="F101" i="11"/>
  <c r="F30" i="14"/>
  <c r="J39" i="14"/>
  <c r="H70" i="15"/>
  <c r="K67" i="22"/>
  <c r="D36" i="14"/>
  <c r="D33" i="14"/>
  <c r="D34" i="14"/>
  <c r="D82" i="14"/>
  <c r="D81" i="14"/>
  <c r="D84" i="14"/>
  <c r="J102" i="14"/>
  <c r="N60" i="10"/>
  <c r="F54" i="10" s="1"/>
  <c r="B60" i="10"/>
  <c r="L58" i="10"/>
  <c r="F52" i="10" s="1"/>
  <c r="L59" i="10"/>
  <c r="F60" i="10"/>
  <c r="B57" i="10"/>
  <c r="G51" i="10" s="1"/>
  <c r="K51" i="10" s="1"/>
  <c r="D60" i="10"/>
  <c r="B58" i="10"/>
  <c r="F18" i="13"/>
  <c r="G16" i="13"/>
  <c r="G17" i="13"/>
  <c r="F17" i="13"/>
  <c r="H17" i="13" s="1"/>
  <c r="I17" i="13" s="1"/>
  <c r="G15" i="13"/>
  <c r="J40" i="13"/>
  <c r="J41" i="13"/>
  <c r="J75" i="13"/>
  <c r="J78" i="13"/>
  <c r="H23" i="15"/>
  <c r="F16" i="17"/>
  <c r="K75" i="22"/>
  <c r="L75" i="22"/>
  <c r="C82" i="7"/>
  <c r="K77" i="7"/>
  <c r="C35" i="8"/>
  <c r="C34" i="8"/>
  <c r="L27" i="8"/>
  <c r="C12" i="9"/>
  <c r="E35" i="9"/>
  <c r="B48" i="9"/>
  <c r="D72" i="9"/>
  <c r="D58" i="10"/>
  <c r="F76" i="11"/>
  <c r="F75" i="11"/>
  <c r="F77" i="11"/>
  <c r="F102" i="11"/>
  <c r="G88" i="12"/>
  <c r="K88" i="12" s="1"/>
  <c r="F90" i="12"/>
  <c r="G89" i="12"/>
  <c r="K89" i="12" s="1"/>
  <c r="F89" i="12"/>
  <c r="G41" i="13"/>
  <c r="G40" i="13"/>
  <c r="H40" i="13" s="1"/>
  <c r="I40" i="13" s="1"/>
  <c r="F41" i="13"/>
  <c r="F39" i="13"/>
  <c r="H39" i="13" s="1"/>
  <c r="I39" i="13" s="1"/>
  <c r="G42" i="13"/>
  <c r="K114" i="13"/>
  <c r="G111" i="13"/>
  <c r="G112" i="13"/>
  <c r="K113" i="13"/>
  <c r="G113" i="13"/>
  <c r="J17" i="14"/>
  <c r="G40" i="14"/>
  <c r="K40" i="14" s="1"/>
  <c r="G52" i="14"/>
  <c r="J66" i="14"/>
  <c r="H66" i="14"/>
  <c r="I66" i="14" s="1"/>
  <c r="J17" i="15"/>
  <c r="F21" i="15"/>
  <c r="H21" i="15" s="1"/>
  <c r="J16" i="15"/>
  <c r="F24" i="15"/>
  <c r="H24" i="15" s="1"/>
  <c r="J15" i="15"/>
  <c r="K66" i="15"/>
  <c r="G63" i="15"/>
  <c r="G66" i="15"/>
  <c r="K65" i="15"/>
  <c r="G64" i="15"/>
  <c r="G72" i="15"/>
  <c r="G71" i="15"/>
  <c r="H71" i="15" s="1"/>
  <c r="G69" i="15"/>
  <c r="J52" i="16"/>
  <c r="F111" i="16"/>
  <c r="H111" i="16" s="1"/>
  <c r="I111" i="16" s="1"/>
  <c r="F114" i="16"/>
  <c r="H114" i="16" s="1"/>
  <c r="I114" i="16" s="1"/>
  <c r="G111" i="16"/>
  <c r="H21" i="8"/>
  <c r="J18" i="8"/>
  <c r="H22" i="8"/>
  <c r="J15" i="8"/>
  <c r="E9" i="9"/>
  <c r="C48" i="9"/>
  <c r="F72" i="9"/>
  <c r="F100" i="9"/>
  <c r="F112" i="9"/>
  <c r="F58" i="10"/>
  <c r="M94" i="10"/>
  <c r="F88" i="10" s="1"/>
  <c r="M96" i="10"/>
  <c r="M93" i="10"/>
  <c r="F87" i="10" s="1"/>
  <c r="G114" i="11"/>
  <c r="J114" i="11" s="1"/>
  <c r="F87" i="12"/>
  <c r="G39" i="13"/>
  <c r="F29" i="14"/>
  <c r="D119" i="14"/>
  <c r="D120" i="14"/>
  <c r="D118" i="14"/>
  <c r="G112" i="14" s="1"/>
  <c r="G89" i="17"/>
  <c r="K88" i="17"/>
  <c r="G87" i="17"/>
  <c r="D35" i="6"/>
  <c r="K29" i="6"/>
  <c r="B34" i="6"/>
  <c r="K27" i="6"/>
  <c r="K75" i="7"/>
  <c r="H107" i="7"/>
  <c r="H106" i="7"/>
  <c r="M12" i="9"/>
  <c r="E36" i="9"/>
  <c r="L48" i="9"/>
  <c r="M81" i="9"/>
  <c r="F75" i="9" s="1"/>
  <c r="M82" i="9"/>
  <c r="F76" i="9" s="1"/>
  <c r="M84" i="9"/>
  <c r="F29" i="12"/>
  <c r="F27" i="12"/>
  <c r="G29" i="12"/>
  <c r="K29" i="12" s="1"/>
  <c r="G28" i="12"/>
  <c r="K28" i="12" s="1"/>
  <c r="G78" i="12"/>
  <c r="K78" i="12" s="1"/>
  <c r="J77" i="13"/>
  <c r="D83" i="14"/>
  <c r="K18" i="16"/>
  <c r="G17" i="16"/>
  <c r="K16" i="16"/>
  <c r="K77" i="16"/>
  <c r="F77" i="16"/>
  <c r="K75" i="16"/>
  <c r="J75" i="16"/>
  <c r="F75" i="16"/>
  <c r="J78" i="16"/>
  <c r="K78" i="16"/>
  <c r="F78" i="16"/>
  <c r="F76" i="16"/>
  <c r="F53" i="17"/>
  <c r="F51" i="17"/>
  <c r="D25" i="27"/>
  <c r="D23" i="27" s="1"/>
  <c r="C25" i="27"/>
  <c r="E25" i="27"/>
  <c r="F25" i="27"/>
  <c r="S7" i="27"/>
  <c r="S6" i="27"/>
  <c r="S8" i="27"/>
  <c r="O5" i="27"/>
  <c r="O6" i="27"/>
  <c r="B87" i="17"/>
  <c r="D94" i="16"/>
  <c r="C94" i="15"/>
  <c r="B94" i="15"/>
  <c r="B87" i="13"/>
  <c r="G87" i="13" s="1"/>
  <c r="B66" i="27"/>
  <c r="B92" i="13"/>
  <c r="B94" i="17"/>
  <c r="B94" i="16"/>
  <c r="B87" i="16"/>
  <c r="B87" i="14"/>
  <c r="B87" i="11"/>
  <c r="G90" i="11" s="1"/>
  <c r="J90" i="11" s="1"/>
  <c r="C94" i="16"/>
  <c r="D94" i="17"/>
  <c r="B92" i="12"/>
  <c r="T79" i="27"/>
  <c r="T77" i="27"/>
  <c r="T81" i="27"/>
  <c r="T80" i="27"/>
  <c r="T78" i="27"/>
  <c r="P77" i="27"/>
  <c r="P78" i="27"/>
  <c r="K114" i="2"/>
  <c r="C21" i="3"/>
  <c r="G15" i="3" s="1"/>
  <c r="L99" i="4"/>
  <c r="C35" i="6"/>
  <c r="G29" i="6" s="1"/>
  <c r="C34" i="6"/>
  <c r="L27" i="6"/>
  <c r="D33" i="6"/>
  <c r="G27" i="6" s="1"/>
  <c r="H72" i="7"/>
  <c r="J64" i="7"/>
  <c r="J65" i="7"/>
  <c r="L75" i="7"/>
  <c r="C83" i="7"/>
  <c r="G77" i="7" s="1"/>
  <c r="G57" i="8"/>
  <c r="G51" i="8"/>
  <c r="D120" i="8"/>
  <c r="B120" i="8"/>
  <c r="K113" i="8"/>
  <c r="J113" i="8"/>
  <c r="H117" i="8"/>
  <c r="B69" i="9"/>
  <c r="M34" i="10"/>
  <c r="M33" i="10"/>
  <c r="D59" i="10"/>
  <c r="G53" i="10" s="1"/>
  <c r="K53" i="10" s="1"/>
  <c r="E82" i="10"/>
  <c r="C84" i="10"/>
  <c r="G78" i="10" s="1"/>
  <c r="K78" i="10" s="1"/>
  <c r="C81" i="10"/>
  <c r="G75" i="10" s="1"/>
  <c r="C83" i="10"/>
  <c r="G77" i="10" s="1"/>
  <c r="K77" i="10" s="1"/>
  <c r="E81" i="10"/>
  <c r="C82" i="10"/>
  <c r="G76" i="11"/>
  <c r="J76" i="11" s="1"/>
  <c r="G27" i="12"/>
  <c r="K27" i="12" s="1"/>
  <c r="F78" i="12"/>
  <c r="F77" i="12"/>
  <c r="J63" i="13"/>
  <c r="F64" i="13"/>
  <c r="H64" i="13" s="1"/>
  <c r="I64" i="13" s="1"/>
  <c r="F63" i="13"/>
  <c r="H63" i="13" s="1"/>
  <c r="I63" i="13" s="1"/>
  <c r="K100" i="13"/>
  <c r="K102" i="13"/>
  <c r="K101" i="13"/>
  <c r="K99" i="13"/>
  <c r="D35" i="14"/>
  <c r="K64" i="15"/>
  <c r="L39" i="22"/>
  <c r="K39" i="22"/>
  <c r="B44" i="11"/>
  <c r="B39" i="14"/>
  <c r="B30" i="27"/>
  <c r="C46" i="16"/>
  <c r="B39" i="16"/>
  <c r="C46" i="17"/>
  <c r="B44" i="14"/>
  <c r="B46" i="17"/>
  <c r="F41" i="17" s="1"/>
  <c r="B44" i="13"/>
  <c r="B39" i="12"/>
  <c r="B39" i="11"/>
  <c r="G41" i="11" s="1"/>
  <c r="B39" i="15"/>
  <c r="B39" i="17"/>
  <c r="F40" i="17" s="1"/>
  <c r="F81" i="3"/>
  <c r="F82" i="3"/>
  <c r="H82" i="3" s="1"/>
  <c r="B69" i="7"/>
  <c r="B71" i="7"/>
  <c r="K65" i="7"/>
  <c r="J54" i="8"/>
  <c r="J51" i="8"/>
  <c r="C10" i="9"/>
  <c r="M36" i="9"/>
  <c r="B45" i="9"/>
  <c r="N48" i="9"/>
  <c r="C69" i="9"/>
  <c r="C35" i="10"/>
  <c r="F59" i="10"/>
  <c r="B92" i="11"/>
  <c r="G90" i="12"/>
  <c r="K90" i="12" s="1"/>
  <c r="J30" i="13"/>
  <c r="J29" i="13"/>
  <c r="J28" i="13"/>
  <c r="J27" i="13"/>
  <c r="F42" i="13"/>
  <c r="K64" i="13"/>
  <c r="K63" i="13"/>
  <c r="G64" i="13"/>
  <c r="G63" i="13"/>
  <c r="K66" i="13"/>
  <c r="K112" i="13"/>
  <c r="D95" i="14"/>
  <c r="D94" i="14"/>
  <c r="D96" i="14"/>
  <c r="J113" i="14"/>
  <c r="G65" i="15"/>
  <c r="G41" i="16"/>
  <c r="K40" i="16"/>
  <c r="K42" i="16"/>
  <c r="G76" i="16"/>
  <c r="T9" i="27"/>
  <c r="T8" i="27"/>
  <c r="T7" i="27"/>
  <c r="P5" i="27"/>
  <c r="T5" i="27"/>
  <c r="T6" i="27"/>
  <c r="P6" i="27"/>
  <c r="B81" i="3"/>
  <c r="J76" i="4"/>
  <c r="K90" i="4"/>
  <c r="K87" i="4"/>
  <c r="D94" i="4"/>
  <c r="D108" i="6"/>
  <c r="G108" i="6" s="1"/>
  <c r="H108" i="6" s="1"/>
  <c r="B105" i="6"/>
  <c r="K101" i="6"/>
  <c r="D107" i="6"/>
  <c r="B107" i="6"/>
  <c r="K100" i="6"/>
  <c r="C118" i="6"/>
  <c r="J29" i="7"/>
  <c r="B70" i="7"/>
  <c r="B11" i="8"/>
  <c r="K3" i="8"/>
  <c r="D10" i="8"/>
  <c r="G10" i="8" s="1"/>
  <c r="C36" i="8"/>
  <c r="B118" i="8"/>
  <c r="C21" i="9"/>
  <c r="E23" i="9"/>
  <c r="C23" i="9"/>
  <c r="G17" i="9" s="1"/>
  <c r="K17" i="9" s="1"/>
  <c r="E24" i="9"/>
  <c r="G18" i="9" s="1"/>
  <c r="E21" i="9"/>
  <c r="D45" i="9"/>
  <c r="D69" i="9"/>
  <c r="M95" i="9"/>
  <c r="E35" i="10"/>
  <c r="N59" i="10"/>
  <c r="E119" i="10"/>
  <c r="E118" i="10"/>
  <c r="C118" i="10"/>
  <c r="F76" i="12"/>
  <c r="K29" i="13"/>
  <c r="K28" i="13"/>
  <c r="K30" i="13"/>
  <c r="J42" i="14"/>
  <c r="E94" i="14"/>
  <c r="C95" i="14"/>
  <c r="G89" i="14" s="1"/>
  <c r="C94" i="14"/>
  <c r="E96" i="14"/>
  <c r="C96" i="14"/>
  <c r="G90" i="14" s="1"/>
  <c r="K90" i="14" s="1"/>
  <c r="E95" i="14"/>
  <c r="F87" i="14"/>
  <c r="C93" i="14"/>
  <c r="E93" i="14"/>
  <c r="J100" i="14"/>
  <c r="H100" i="14"/>
  <c r="I100" i="14" s="1"/>
  <c r="H69" i="15"/>
  <c r="J28" i="17"/>
  <c r="F29" i="17"/>
  <c r="J27" i="17"/>
  <c r="F27" i="17"/>
  <c r="D32" i="27"/>
  <c r="F88" i="16"/>
  <c r="J89" i="16"/>
  <c r="F90" i="16"/>
  <c r="F87" i="16"/>
  <c r="G7" i="24"/>
  <c r="P3" i="24" s="1"/>
  <c r="P7" i="24" s="1"/>
  <c r="G4" i="24"/>
  <c r="C4" i="24"/>
  <c r="C6" i="24"/>
  <c r="J75" i="17"/>
  <c r="J78" i="17"/>
  <c r="J77" i="17"/>
  <c r="J76" i="17"/>
  <c r="D50" i="27"/>
  <c r="F48" i="27" s="1"/>
  <c r="E83" i="9"/>
  <c r="G77" i="9" s="1"/>
  <c r="E84" i="9"/>
  <c r="C81" i="9"/>
  <c r="M21" i="10"/>
  <c r="F15" i="10" s="1"/>
  <c r="M23" i="10"/>
  <c r="F89" i="10"/>
  <c r="K16" i="13"/>
  <c r="K18" i="13"/>
  <c r="K17" i="13"/>
  <c r="F107" i="15"/>
  <c r="F106" i="15"/>
  <c r="J100" i="15"/>
  <c r="J99" i="15"/>
  <c r="F114" i="12"/>
  <c r="K114" i="15"/>
  <c r="G111" i="15"/>
  <c r="G119" i="15"/>
  <c r="K112" i="15"/>
  <c r="G120" i="15"/>
  <c r="G113" i="15"/>
  <c r="G118" i="15"/>
  <c r="G117" i="15"/>
  <c r="K113" i="15"/>
  <c r="G100" i="7"/>
  <c r="B105" i="7"/>
  <c r="C69" i="8"/>
  <c r="G69" i="8" s="1"/>
  <c r="E82" i="9"/>
  <c r="L36" i="10"/>
  <c r="F30" i="10" s="1"/>
  <c r="B35" i="10"/>
  <c r="L34" i="10"/>
  <c r="F28" i="10" s="1"/>
  <c r="D35" i="10"/>
  <c r="N34" i="10"/>
  <c r="L33" i="10"/>
  <c r="J30" i="11"/>
  <c r="J29" i="11"/>
  <c r="G29" i="11"/>
  <c r="F5" i="14"/>
  <c r="F6" i="14"/>
  <c r="F4" i="14"/>
  <c r="K16" i="11"/>
  <c r="K17" i="11"/>
  <c r="J17" i="11"/>
  <c r="F17" i="11"/>
  <c r="T68" i="27"/>
  <c r="P68" i="27"/>
  <c r="T69" i="27"/>
  <c r="P69" i="27"/>
  <c r="T70" i="27"/>
  <c r="T72" i="27"/>
  <c r="T71" i="27"/>
  <c r="J3" i="3"/>
  <c r="F33" i="3"/>
  <c r="J29" i="3"/>
  <c r="J30" i="3"/>
  <c r="B47" i="3"/>
  <c r="K40" i="3"/>
  <c r="K42" i="3"/>
  <c r="D9" i="5"/>
  <c r="B9" i="5"/>
  <c r="G51" i="6"/>
  <c r="J90" i="7"/>
  <c r="K99" i="7"/>
  <c r="L99" i="7"/>
  <c r="C105" i="7"/>
  <c r="B84" i="8"/>
  <c r="D83" i="8"/>
  <c r="B83" i="8"/>
  <c r="B81" i="8"/>
  <c r="J90" i="8"/>
  <c r="L107" i="9"/>
  <c r="B107" i="9"/>
  <c r="G101" i="9" s="1"/>
  <c r="K101" i="9" s="1"/>
  <c r="L108" i="9"/>
  <c r="F102" i="9" s="1"/>
  <c r="F105" i="9"/>
  <c r="D105" i="9"/>
  <c r="G99" i="9" s="1"/>
  <c r="K99" i="9" s="1"/>
  <c r="E45" i="10"/>
  <c r="F90" i="10"/>
  <c r="F15" i="11"/>
  <c r="G52" i="11"/>
  <c r="J52" i="11" s="1"/>
  <c r="F63" i="12"/>
  <c r="D11" i="14"/>
  <c r="J53" i="14"/>
  <c r="H53" i="14"/>
  <c r="I53" i="14" s="1"/>
  <c r="G112" i="15"/>
  <c r="F79" i="27"/>
  <c r="F77" i="27" s="1"/>
  <c r="D79" i="27"/>
  <c r="D77" i="27" s="1"/>
  <c r="F75" i="27" s="1"/>
  <c r="C79" i="27"/>
  <c r="E79" i="27"/>
  <c r="C57" i="6"/>
  <c r="G57" i="6" s="1"/>
  <c r="K54" i="6"/>
  <c r="J66" i="6"/>
  <c r="K88" i="8"/>
  <c r="D94" i="8"/>
  <c r="B94" i="8"/>
  <c r="K90" i="8"/>
  <c r="B60" i="9"/>
  <c r="F57" i="9"/>
  <c r="D57" i="9"/>
  <c r="G51" i="9" s="1"/>
  <c r="D59" i="9"/>
  <c r="G53" i="9" s="1"/>
  <c r="K53" i="9" s="1"/>
  <c r="D60" i="9"/>
  <c r="N59" i="9"/>
  <c r="F53" i="9" s="1"/>
  <c r="F60" i="9"/>
  <c r="N33" i="10"/>
  <c r="D46" i="10"/>
  <c r="G40" i="10" s="1"/>
  <c r="F47" i="10"/>
  <c r="D47" i="10"/>
  <c r="D45" i="10"/>
  <c r="G39" i="10" s="1"/>
  <c r="K39" i="10" s="1"/>
  <c r="N45" i="10"/>
  <c r="L48" i="10"/>
  <c r="F42" i="10" s="1"/>
  <c r="L45" i="10"/>
  <c r="F45" i="10"/>
  <c r="G15" i="11"/>
  <c r="K28" i="11"/>
  <c r="J51" i="13"/>
  <c r="J54" i="13"/>
  <c r="F51" i="13"/>
  <c r="E10" i="14"/>
  <c r="E12" i="14"/>
  <c r="C12" i="14"/>
  <c r="E11" i="14"/>
  <c r="C10" i="14"/>
  <c r="G4" i="14" s="1"/>
  <c r="K4" i="14" s="1"/>
  <c r="D108" i="14"/>
  <c r="D107" i="14"/>
  <c r="J65" i="15"/>
  <c r="J63" i="15"/>
  <c r="J66" i="15"/>
  <c r="J64" i="15"/>
  <c r="F72" i="15"/>
  <c r="H72" i="15" s="1"/>
  <c r="J101" i="15"/>
  <c r="D7" i="27"/>
  <c r="D5" i="27" s="1"/>
  <c r="F3" i="27" s="1"/>
  <c r="F7" i="27"/>
  <c r="E7" i="27"/>
  <c r="E5" i="27" s="1"/>
  <c r="B42" i="27"/>
  <c r="F44" i="22"/>
  <c r="P59" i="27"/>
  <c r="T63" i="27"/>
  <c r="T62" i="27"/>
  <c r="T60" i="27"/>
  <c r="T59" i="27"/>
  <c r="T61" i="27"/>
  <c r="P60" i="27"/>
  <c r="L3" i="3"/>
  <c r="C9" i="3"/>
  <c r="G3" i="3" s="1"/>
  <c r="K6" i="3"/>
  <c r="K27" i="3"/>
  <c r="C36" i="3"/>
  <c r="G36" i="3" s="1"/>
  <c r="H36" i="3" s="1"/>
  <c r="H47" i="4"/>
  <c r="J88" i="5"/>
  <c r="J90" i="5"/>
  <c r="K65" i="6"/>
  <c r="K66" i="6"/>
  <c r="B96" i="7"/>
  <c r="B94" i="7"/>
  <c r="B93" i="7"/>
  <c r="D81" i="8"/>
  <c r="B93" i="8"/>
  <c r="J114" i="8"/>
  <c r="L60" i="9"/>
  <c r="F54" i="9" s="1"/>
  <c r="L105" i="9"/>
  <c r="F99" i="9" s="1"/>
  <c r="B34" i="10"/>
  <c r="G28" i="10" s="1"/>
  <c r="M45" i="10"/>
  <c r="E58" i="10"/>
  <c r="E57" i="10"/>
  <c r="C57" i="10"/>
  <c r="E59" i="10"/>
  <c r="F66" i="11"/>
  <c r="G78" i="11"/>
  <c r="J78" i="11" s="1"/>
  <c r="G77" i="11"/>
  <c r="J77" i="11" s="1"/>
  <c r="F40" i="12"/>
  <c r="G54" i="13"/>
  <c r="G52" i="13"/>
  <c r="F3" i="14"/>
  <c r="D22" i="14"/>
  <c r="G16" i="14" s="1"/>
  <c r="D24" i="14"/>
  <c r="D23" i="14"/>
  <c r="F76" i="14"/>
  <c r="F78" i="14"/>
  <c r="C107" i="14"/>
  <c r="C108" i="14"/>
  <c r="E107" i="14"/>
  <c r="J112" i="14"/>
  <c r="J39" i="16"/>
  <c r="F40" i="16"/>
  <c r="K40" i="22"/>
  <c r="F53" i="22"/>
  <c r="F16" i="27"/>
  <c r="F14" i="27" s="1"/>
  <c r="E16" i="27"/>
  <c r="E120" i="14"/>
  <c r="E119" i="14"/>
  <c r="G113" i="14" s="1"/>
  <c r="E117" i="14"/>
  <c r="J42" i="17"/>
  <c r="K60" i="22"/>
  <c r="G54" i="12"/>
  <c r="K54" i="12" s="1"/>
  <c r="F66" i="12"/>
  <c r="E24" i="14"/>
  <c r="C24" i="14"/>
  <c r="G18" i="14" s="1"/>
  <c r="C21" i="14"/>
  <c r="G15" i="14" s="1"/>
  <c r="K15" i="14" s="1"/>
  <c r="E45" i="14"/>
  <c r="C45" i="14"/>
  <c r="G39" i="14" s="1"/>
  <c r="K39" i="14" s="1"/>
  <c r="E48" i="14"/>
  <c r="G42" i="14" s="1"/>
  <c r="F88" i="14"/>
  <c r="E118" i="14"/>
  <c r="K102" i="15"/>
  <c r="G99" i="15"/>
  <c r="G106" i="15"/>
  <c r="G100" i="15"/>
  <c r="K99" i="15"/>
  <c r="K101" i="15"/>
  <c r="G107" i="15"/>
  <c r="G51" i="16"/>
  <c r="F63" i="14"/>
  <c r="F64" i="14"/>
  <c r="F34" i="15"/>
  <c r="H34" i="15" s="1"/>
  <c r="J27" i="15"/>
  <c r="G114" i="16"/>
  <c r="G99" i="16"/>
  <c r="S80" i="27"/>
  <c r="S79" i="27"/>
  <c r="S78" i="27"/>
  <c r="O78" i="27"/>
  <c r="S77" i="27"/>
  <c r="O77" i="27"/>
  <c r="F18" i="2"/>
  <c r="H18" i="2" s="1"/>
  <c r="I18" i="2" s="1"/>
  <c r="J101" i="2"/>
  <c r="L84" i="9"/>
  <c r="F78" i="9" s="1"/>
  <c r="B82" i="9"/>
  <c r="G76" i="9" s="1"/>
  <c r="K76" i="9" s="1"/>
  <c r="B81" i="9"/>
  <c r="G75" i="9" s="1"/>
  <c r="K75" i="9" s="1"/>
  <c r="B84" i="9"/>
  <c r="G78" i="9" s="1"/>
  <c r="K78" i="9" s="1"/>
  <c r="L82" i="10"/>
  <c r="F76" i="10" s="1"/>
  <c r="N84" i="10"/>
  <c r="D82" i="10"/>
  <c r="L84" i="10"/>
  <c r="F78" i="10" s="1"/>
  <c r="B82" i="10"/>
  <c r="N83" i="10"/>
  <c r="F77" i="10" s="1"/>
  <c r="C107" i="10"/>
  <c r="G101" i="10" s="1"/>
  <c r="E108" i="10"/>
  <c r="G102" i="10" s="1"/>
  <c r="G90" i="13"/>
  <c r="G89" i="13"/>
  <c r="E22" i="14"/>
  <c r="C47" i="14"/>
  <c r="J99" i="17"/>
  <c r="J102" i="17"/>
  <c r="F102" i="17"/>
  <c r="J101" i="17"/>
  <c r="C16" i="27"/>
  <c r="C14" i="27" s="1"/>
  <c r="G75" i="13"/>
  <c r="G17" i="14"/>
  <c r="K17" i="14" s="1"/>
  <c r="K6" i="15"/>
  <c r="G3" i="15"/>
  <c r="G6" i="15"/>
  <c r="G9" i="15"/>
  <c r="K30" i="15"/>
  <c r="G27" i="15"/>
  <c r="G30" i="15"/>
  <c r="G34" i="15"/>
  <c r="G28" i="15"/>
  <c r="K27" i="15"/>
  <c r="F35" i="15"/>
  <c r="F90" i="17"/>
  <c r="J89" i="17"/>
  <c r="F89" i="17"/>
  <c r="H89" i="17" s="1"/>
  <c r="I89" i="17" s="1"/>
  <c r="J90" i="17"/>
  <c r="K32" i="22"/>
  <c r="D16" i="27"/>
  <c r="D14" i="27" s="1"/>
  <c r="F12" i="27" s="1"/>
  <c r="J18" i="7"/>
  <c r="D72" i="8"/>
  <c r="G66" i="8" s="1"/>
  <c r="L23" i="9"/>
  <c r="F17" i="9" s="1"/>
  <c r="B21" i="9"/>
  <c r="D81" i="9"/>
  <c r="D84" i="9"/>
  <c r="G63" i="11"/>
  <c r="J63" i="11" s="1"/>
  <c r="E47" i="14"/>
  <c r="G10" i="15"/>
  <c r="H10" i="15" s="1"/>
  <c r="G35" i="15"/>
  <c r="K100" i="15"/>
  <c r="F120" i="15"/>
  <c r="J112" i="15"/>
  <c r="F119" i="15"/>
  <c r="E77" i="27"/>
  <c r="F30" i="27"/>
  <c r="F33" i="27"/>
  <c r="F32" i="27" s="1"/>
  <c r="E33" i="27"/>
  <c r="E32" i="27" s="1"/>
  <c r="C33" i="27"/>
  <c r="C32" i="27" s="1"/>
  <c r="L15" i="8"/>
  <c r="C24" i="8"/>
  <c r="G18" i="8" s="1"/>
  <c r="F11" i="9"/>
  <c r="G5" i="9" s="1"/>
  <c r="K5" i="9" s="1"/>
  <c r="B9" i="9"/>
  <c r="D117" i="9"/>
  <c r="F119" i="9"/>
  <c r="D119" i="9"/>
  <c r="B117" i="9"/>
  <c r="B120" i="9"/>
  <c r="B24" i="10"/>
  <c r="G18" i="10" s="1"/>
  <c r="K18" i="10" s="1"/>
  <c r="F21" i="10"/>
  <c r="L24" i="10"/>
  <c r="F18" i="10" s="1"/>
  <c r="B22" i="10"/>
  <c r="G16" i="10" s="1"/>
  <c r="K16" i="10" s="1"/>
  <c r="L23" i="10"/>
  <c r="F95" i="10"/>
  <c r="G18" i="11"/>
  <c r="G75" i="12"/>
  <c r="K75" i="12" s="1"/>
  <c r="G65" i="13"/>
  <c r="F65" i="13"/>
  <c r="H65" i="13" s="1"/>
  <c r="I65" i="13" s="1"/>
  <c r="H54" i="14"/>
  <c r="I54" i="14" s="1"/>
  <c r="F17" i="17"/>
  <c r="K22" i="22"/>
  <c r="K21" i="22"/>
  <c r="G12" i="24"/>
  <c r="C12" i="24"/>
  <c r="G15" i="24"/>
  <c r="P15" i="24" s="1"/>
  <c r="G47" i="24"/>
  <c r="P47" i="24" s="1"/>
  <c r="C46" i="24"/>
  <c r="G44" i="24"/>
  <c r="C44" i="24"/>
  <c r="G114" i="13"/>
  <c r="C69" i="14"/>
  <c r="G63" i="14" s="1"/>
  <c r="K63" i="14" s="1"/>
  <c r="C70" i="14"/>
  <c r="G64" i="14" s="1"/>
  <c r="K64" i="14" s="1"/>
  <c r="K90" i="15"/>
  <c r="G87" i="15"/>
  <c r="G88" i="15"/>
  <c r="G93" i="15"/>
  <c r="H93" i="15" s="1"/>
  <c r="J64" i="16"/>
  <c r="F65" i="16"/>
  <c r="K76" i="22"/>
  <c r="K18" i="15"/>
  <c r="G15" i="15"/>
  <c r="G21" i="15"/>
  <c r="J66" i="16"/>
  <c r="E23" i="27"/>
  <c r="J78" i="15"/>
  <c r="F23" i="27"/>
  <c r="F12" i="15"/>
  <c r="J6" i="15"/>
  <c r="K3" i="22"/>
  <c r="E61" i="27"/>
  <c r="D61" i="27"/>
  <c r="D59" i="27" s="1"/>
  <c r="F57" i="27" s="1"/>
  <c r="C61" i="27"/>
  <c r="K78" i="22"/>
  <c r="G52" i="24"/>
  <c r="C52" i="24"/>
  <c r="G55" i="24"/>
  <c r="P55" i="24" s="1"/>
  <c r="K54" i="15"/>
  <c r="G51" i="15"/>
  <c r="F63" i="17"/>
  <c r="K31" i="22"/>
  <c r="K69" i="22"/>
  <c r="F6" i="27"/>
  <c r="C6" i="27"/>
  <c r="C5" i="27" s="1"/>
  <c r="C42" i="27"/>
  <c r="C41" i="27" s="1"/>
  <c r="D86" i="27"/>
  <c r="F84" i="27" s="1"/>
  <c r="K68" i="22"/>
  <c r="K77" i="22"/>
  <c r="K30" i="16"/>
  <c r="G30" i="16"/>
  <c r="F112" i="16"/>
  <c r="J111" i="16"/>
  <c r="K59" i="22"/>
  <c r="C24" i="27"/>
  <c r="F21" i="27"/>
  <c r="G23" i="24"/>
  <c r="P23" i="24" s="1"/>
  <c r="G63" i="24"/>
  <c r="P63" i="24" s="1"/>
  <c r="E15" i="27"/>
  <c r="E88" i="27"/>
  <c r="D70" i="27"/>
  <c r="D68" i="27" s="1"/>
  <c r="F66" i="27" s="1"/>
  <c r="F66" i="17"/>
  <c r="K48" i="22"/>
  <c r="K84" i="22"/>
  <c r="E70" i="27"/>
  <c r="E68" i="27" s="1"/>
  <c r="E87" i="27"/>
  <c r="E86" i="27" s="1"/>
  <c r="K12" i="22"/>
  <c r="C78" i="27"/>
  <c r="C77" i="27" s="1"/>
  <c r="C3" i="27" a="1"/>
  <c r="D3" i="27" a="1"/>
  <c r="H11" i="15" l="1"/>
  <c r="G10" i="7"/>
  <c r="H10" i="7" s="1"/>
  <c r="H5" i="2"/>
  <c r="I5" i="2" s="1"/>
  <c r="F6" i="9"/>
  <c r="G6" i="8"/>
  <c r="C3" i="27"/>
  <c r="G6" i="4"/>
  <c r="H12" i="3"/>
  <c r="G12" i="8"/>
  <c r="G11" i="3"/>
  <c r="H11" i="3" s="1"/>
  <c r="G4" i="4"/>
  <c r="G3" i="4"/>
  <c r="G3" i="8"/>
  <c r="H12" i="8"/>
  <c r="G3" i="9"/>
  <c r="K3" i="9" s="1"/>
  <c r="G4" i="8"/>
  <c r="D3" i="27"/>
  <c r="J4" i="9"/>
  <c r="G6" i="3"/>
  <c r="G6" i="9"/>
  <c r="K6" i="9" s="1"/>
  <c r="G5" i="3"/>
  <c r="G5" i="14"/>
  <c r="K5" i="14" s="1"/>
  <c r="G4" i="9"/>
  <c r="K4" i="9" s="1"/>
  <c r="F4" i="10"/>
  <c r="J4" i="10" s="1"/>
  <c r="H6" i="2"/>
  <c r="I6" i="2" s="1"/>
  <c r="H12" i="15"/>
  <c r="F3" i="10"/>
  <c r="J3" i="10" s="1"/>
  <c r="G12" i="4"/>
  <c r="H12" i="4" s="1"/>
  <c r="G10" i="4"/>
  <c r="H10" i="4" s="1"/>
  <c r="G12" i="6"/>
  <c r="H12" i="6" s="1"/>
  <c r="H9" i="15"/>
  <c r="M99" i="3"/>
  <c r="M99" i="6"/>
  <c r="M99" i="8"/>
  <c r="M99" i="7"/>
  <c r="M99" i="4"/>
  <c r="L99" i="15"/>
  <c r="M99" i="5"/>
  <c r="M75" i="6"/>
  <c r="M75" i="8"/>
  <c r="M75" i="5"/>
  <c r="M75" i="3"/>
  <c r="L75" i="15"/>
  <c r="M75" i="7"/>
  <c r="M75" i="4"/>
  <c r="L39" i="15"/>
  <c r="M39" i="6"/>
  <c r="M39" i="5"/>
  <c r="M39" i="3"/>
  <c r="M39" i="7"/>
  <c r="M39" i="4"/>
  <c r="M39" i="8"/>
  <c r="M27" i="7"/>
  <c r="M27" i="8"/>
  <c r="M27" i="6"/>
  <c r="M27" i="4"/>
  <c r="M27" i="3"/>
  <c r="M27" i="5"/>
  <c r="L27" i="15"/>
  <c r="M15" i="5"/>
  <c r="M15" i="8"/>
  <c r="M15" i="6"/>
  <c r="L15" i="15"/>
  <c r="M15" i="7"/>
  <c r="M15" i="3"/>
  <c r="M15" i="4"/>
  <c r="G76" i="20"/>
  <c r="G67" i="21"/>
  <c r="G76" i="23"/>
  <c r="G22" i="20"/>
  <c r="H26" i="20" s="1"/>
  <c r="G22" i="23"/>
  <c r="G19" i="21"/>
  <c r="G58" i="23"/>
  <c r="G58" i="20"/>
  <c r="G51" i="21"/>
  <c r="G31" i="20"/>
  <c r="G31" i="23"/>
  <c r="G27" i="21"/>
  <c r="G11" i="21"/>
  <c r="G13" i="20"/>
  <c r="H17" i="20" s="1"/>
  <c r="G13" i="23"/>
  <c r="G3" i="11"/>
  <c r="F4" i="12"/>
  <c r="J4" i="12" s="1"/>
  <c r="J5" i="17"/>
  <c r="G6" i="12"/>
  <c r="K6" i="12" s="1"/>
  <c r="G5" i="12"/>
  <c r="K5" i="12" s="1"/>
  <c r="G5" i="16"/>
  <c r="F5" i="17"/>
  <c r="F6" i="16"/>
  <c r="F4" i="16"/>
  <c r="G6" i="16"/>
  <c r="F6" i="17"/>
  <c r="J4" i="16"/>
  <c r="F5" i="16"/>
  <c r="F4" i="13"/>
  <c r="F3" i="16"/>
  <c r="G5" i="13"/>
  <c r="G4" i="13"/>
  <c r="F4" i="11"/>
  <c r="F3" i="11"/>
  <c r="G4" i="16"/>
  <c r="G6" i="13"/>
  <c r="K3" i="16"/>
  <c r="J6" i="17"/>
  <c r="K4" i="16"/>
  <c r="G6" i="11"/>
  <c r="G3" i="13"/>
  <c r="H3" i="13" s="1"/>
  <c r="I3" i="13" s="1"/>
  <c r="F5" i="13"/>
  <c r="F6" i="11"/>
  <c r="K6" i="11"/>
  <c r="J5" i="16"/>
  <c r="J6" i="16"/>
  <c r="F6" i="13"/>
  <c r="K111" i="5"/>
  <c r="K42" i="14"/>
  <c r="H42" i="14"/>
  <c r="I42" i="14" s="1"/>
  <c r="J90" i="9"/>
  <c r="J54" i="10"/>
  <c r="H114" i="10"/>
  <c r="I114" i="10" s="1"/>
  <c r="J114" i="10"/>
  <c r="H77" i="10"/>
  <c r="I77" i="10" s="1"/>
  <c r="J77" i="10"/>
  <c r="K18" i="9"/>
  <c r="H18" i="9"/>
  <c r="I18" i="9" s="1"/>
  <c r="K51" i="9"/>
  <c r="H51" i="9"/>
  <c r="I51" i="9" s="1"/>
  <c r="K112" i="14"/>
  <c r="H112" i="14"/>
  <c r="I112" i="14" s="1"/>
  <c r="K40" i="10"/>
  <c r="H40" i="10"/>
  <c r="I40" i="10" s="1"/>
  <c r="K113" i="14"/>
  <c r="H113" i="14"/>
  <c r="I113" i="14" s="1"/>
  <c r="K102" i="10"/>
  <c r="H102" i="10"/>
  <c r="I102" i="10" s="1"/>
  <c r="J75" i="9"/>
  <c r="H75" i="9"/>
  <c r="I75" i="9" s="1"/>
  <c r="K101" i="10"/>
  <c r="H101" i="10"/>
  <c r="I101" i="10" s="1"/>
  <c r="K75" i="10"/>
  <c r="H75" i="10"/>
  <c r="I75" i="10" s="1"/>
  <c r="K64" i="11"/>
  <c r="H52" i="17"/>
  <c r="I52" i="17" s="1"/>
  <c r="H65" i="9"/>
  <c r="I65" i="9" s="1"/>
  <c r="J65" i="9"/>
  <c r="H15" i="17"/>
  <c r="I15" i="17" s="1"/>
  <c r="J112" i="10"/>
  <c r="J42" i="11"/>
  <c r="J76" i="9"/>
  <c r="H76" i="9"/>
  <c r="I76" i="9" s="1"/>
  <c r="J30" i="14"/>
  <c r="J40" i="9"/>
  <c r="H113" i="10"/>
  <c r="I113" i="10" s="1"/>
  <c r="J113" i="10"/>
  <c r="F53" i="13"/>
  <c r="H53" i="13" s="1"/>
  <c r="I53" i="13" s="1"/>
  <c r="F54" i="13"/>
  <c r="H54" i="13" s="1"/>
  <c r="I54" i="13" s="1"/>
  <c r="G53" i="13"/>
  <c r="G9" i="3"/>
  <c r="H9" i="3" s="1"/>
  <c r="G107" i="5"/>
  <c r="G101" i="5"/>
  <c r="G71" i="6"/>
  <c r="H71" i="6" s="1"/>
  <c r="G65" i="6"/>
  <c r="G28" i="4"/>
  <c r="G34" i="4"/>
  <c r="H34" i="4" s="1"/>
  <c r="F5" i="12"/>
  <c r="G3" i="12"/>
  <c r="K3" i="12" s="1"/>
  <c r="G63" i="4"/>
  <c r="G69" i="4"/>
  <c r="H69" i="4" s="1"/>
  <c r="G33" i="6"/>
  <c r="H33" i="6" s="1"/>
  <c r="K5" i="11"/>
  <c r="F5" i="11"/>
  <c r="H5" i="11" s="1"/>
  <c r="I5" i="11" s="1"/>
  <c r="K4" i="11"/>
  <c r="J4" i="11"/>
  <c r="H16" i="16"/>
  <c r="I16" i="16" s="1"/>
  <c r="F30" i="17"/>
  <c r="J29" i="17"/>
  <c r="J30" i="17"/>
  <c r="G51" i="5"/>
  <c r="G114" i="5"/>
  <c r="G120" i="5"/>
  <c r="K75" i="11"/>
  <c r="J87" i="9"/>
  <c r="G58" i="5"/>
  <c r="G52" i="5"/>
  <c r="K18" i="14"/>
  <c r="H18" i="14"/>
  <c r="I18" i="14" s="1"/>
  <c r="G11" i="8"/>
  <c r="H11" i="8" s="1"/>
  <c r="G5" i="8"/>
  <c r="J77" i="12"/>
  <c r="G42" i="9"/>
  <c r="K42" i="9" s="1"/>
  <c r="J102" i="16"/>
  <c r="G29" i="10"/>
  <c r="G70" i="7"/>
  <c r="H70" i="7" s="1"/>
  <c r="G64" i="7"/>
  <c r="G101" i="13"/>
  <c r="J41" i="16"/>
  <c r="G39" i="16"/>
  <c r="F39" i="16"/>
  <c r="J42" i="16"/>
  <c r="G42" i="16"/>
  <c r="F42" i="16"/>
  <c r="K41" i="16"/>
  <c r="J78" i="12"/>
  <c r="H78" i="12"/>
  <c r="I78" i="12" s="1"/>
  <c r="G67" i="23"/>
  <c r="G67" i="22"/>
  <c r="G68" i="22" s="1"/>
  <c r="G71" i="22" s="1"/>
  <c r="G67" i="20"/>
  <c r="G59" i="21"/>
  <c r="G17" i="12"/>
  <c r="K17" i="12" s="1"/>
  <c r="G113" i="10"/>
  <c r="K113" i="10" s="1"/>
  <c r="G33" i="3"/>
  <c r="G27" i="3"/>
  <c r="H6" i="9"/>
  <c r="I6" i="9" s="1"/>
  <c r="J6" i="9"/>
  <c r="J27" i="14"/>
  <c r="H27" i="14"/>
  <c r="I27" i="14" s="1"/>
  <c r="H117" i="15"/>
  <c r="H23" i="3"/>
  <c r="G3" i="10"/>
  <c r="K3" i="10" s="1"/>
  <c r="G6" i="10"/>
  <c r="K6" i="10" s="1"/>
  <c r="G63" i="12"/>
  <c r="K63" i="12" s="1"/>
  <c r="G65" i="12"/>
  <c r="K65" i="12" s="1"/>
  <c r="G66" i="12"/>
  <c r="K66" i="12" s="1"/>
  <c r="F65" i="12"/>
  <c r="G64" i="12"/>
  <c r="K64" i="12" s="1"/>
  <c r="F64" i="12"/>
  <c r="E59" i="27"/>
  <c r="G89" i="11"/>
  <c r="J89" i="11" s="1"/>
  <c r="G22" i="6"/>
  <c r="G16" i="6"/>
  <c r="G111" i="4"/>
  <c r="G94" i="6"/>
  <c r="H94" i="6" s="1"/>
  <c r="G88" i="6"/>
  <c r="G75" i="4"/>
  <c r="G81" i="4"/>
  <c r="G11" i="5"/>
  <c r="H11" i="5" s="1"/>
  <c r="G5" i="5"/>
  <c r="F113" i="17"/>
  <c r="F39" i="17"/>
  <c r="J16" i="17"/>
  <c r="G111" i="9"/>
  <c r="F90" i="13"/>
  <c r="H90" i="13" s="1"/>
  <c r="I90" i="13" s="1"/>
  <c r="K51" i="16"/>
  <c r="G51" i="13"/>
  <c r="K3" i="11"/>
  <c r="H15" i="11"/>
  <c r="I15" i="11" s="1"/>
  <c r="J30" i="10"/>
  <c r="H30" i="10"/>
  <c r="I30" i="10" s="1"/>
  <c r="F78" i="17"/>
  <c r="G15" i="16"/>
  <c r="G112" i="11"/>
  <c r="J112" i="11" s="1"/>
  <c r="G100" i="13"/>
  <c r="G77" i="16"/>
  <c r="H77" i="16" s="1"/>
  <c r="I77" i="16" s="1"/>
  <c r="F42" i="9"/>
  <c r="G114" i="14"/>
  <c r="F17" i="12"/>
  <c r="F41" i="9"/>
  <c r="G42" i="4"/>
  <c r="G48" i="4"/>
  <c r="H29" i="13"/>
  <c r="I29" i="13" s="1"/>
  <c r="G6" i="7"/>
  <c r="G12" i="7"/>
  <c r="H12" i="7" s="1"/>
  <c r="G9" i="6"/>
  <c r="H9" i="6" s="1"/>
  <c r="G3" i="6"/>
  <c r="J40" i="17"/>
  <c r="H3" i="2"/>
  <c r="I3" i="2" s="1"/>
  <c r="F77" i="17"/>
  <c r="F75" i="17"/>
  <c r="H75" i="17" s="1"/>
  <c r="I75" i="17" s="1"/>
  <c r="G4" i="5"/>
  <c r="G10" i="5"/>
  <c r="H10" i="5" s="1"/>
  <c r="H51" i="10"/>
  <c r="I51" i="10" s="1"/>
  <c r="G76" i="6"/>
  <c r="G82" i="6"/>
  <c r="H82" i="6" s="1"/>
  <c r="G100" i="11"/>
  <c r="J100" i="11" s="1"/>
  <c r="G101" i="11"/>
  <c r="J101" i="11" s="1"/>
  <c r="F100" i="11"/>
  <c r="G99" i="11"/>
  <c r="J99" i="11" s="1"/>
  <c r="G76" i="5"/>
  <c r="G82" i="5"/>
  <c r="H82" i="5" s="1"/>
  <c r="F111" i="17"/>
  <c r="G99" i="5"/>
  <c r="G105" i="5"/>
  <c r="G6" i="6"/>
  <c r="H118" i="15"/>
  <c r="G72" i="5"/>
  <c r="G66" i="5"/>
  <c r="H57" i="6"/>
  <c r="G76" i="14"/>
  <c r="K76" i="14" s="1"/>
  <c r="G69" i="5"/>
  <c r="G63" i="5"/>
  <c r="C59" i="27"/>
  <c r="F88" i="11"/>
  <c r="G15" i="6"/>
  <c r="G21" i="6"/>
  <c r="G89" i="7"/>
  <c r="J40" i="12"/>
  <c r="G42" i="11"/>
  <c r="J41" i="11"/>
  <c r="F42" i="11"/>
  <c r="H42" i="11" s="1"/>
  <c r="I42" i="11" s="1"/>
  <c r="K41" i="11"/>
  <c r="F39" i="11"/>
  <c r="K42" i="11"/>
  <c r="J40" i="11"/>
  <c r="G40" i="11"/>
  <c r="F40" i="11"/>
  <c r="H40" i="11" s="1"/>
  <c r="I40" i="11" s="1"/>
  <c r="F41" i="11"/>
  <c r="H41" i="11" s="1"/>
  <c r="I41" i="11" s="1"/>
  <c r="K39" i="11"/>
  <c r="G54" i="10"/>
  <c r="K54" i="10" s="1"/>
  <c r="J88" i="14"/>
  <c r="F42" i="12"/>
  <c r="G41" i="12"/>
  <c r="K41" i="12" s="1"/>
  <c r="F41" i="12"/>
  <c r="G40" i="12"/>
  <c r="K40" i="12" s="1"/>
  <c r="G42" i="12"/>
  <c r="K42" i="12" s="1"/>
  <c r="G39" i="12"/>
  <c r="K39" i="12" s="1"/>
  <c r="F39" i="12"/>
  <c r="J28" i="10"/>
  <c r="H28" i="10"/>
  <c r="I28" i="10" s="1"/>
  <c r="J66" i="12"/>
  <c r="H66" i="12"/>
  <c r="I66" i="12" s="1"/>
  <c r="F18" i="12"/>
  <c r="G72" i="8"/>
  <c r="H72" i="8" s="1"/>
  <c r="H46" i="3"/>
  <c r="J3" i="17"/>
  <c r="F3" i="17"/>
  <c r="F4" i="17"/>
  <c r="K100" i="5"/>
  <c r="K66" i="16"/>
  <c r="F64" i="16"/>
  <c r="H64" i="16" s="1"/>
  <c r="I64" i="16" s="1"/>
  <c r="K63" i="16"/>
  <c r="J63" i="16"/>
  <c r="J65" i="16"/>
  <c r="G65" i="16"/>
  <c r="H65" i="16" s="1"/>
  <c r="I65" i="16" s="1"/>
  <c r="K64" i="16"/>
  <c r="G66" i="16"/>
  <c r="K65" i="16"/>
  <c r="F66" i="16"/>
  <c r="G64" i="16"/>
  <c r="G63" i="16"/>
  <c r="K89" i="11"/>
  <c r="G51" i="7"/>
  <c r="G42" i="6"/>
  <c r="G88" i="8"/>
  <c r="G94" i="8"/>
  <c r="F29" i="9"/>
  <c r="H9" i="7"/>
  <c r="G96" i="6"/>
  <c r="H96" i="6" s="1"/>
  <c r="G90" i="6"/>
  <c r="G29" i="14"/>
  <c r="K29" i="14" s="1"/>
  <c r="J18" i="17"/>
  <c r="F75" i="13"/>
  <c r="H75" i="13" s="1"/>
  <c r="I75" i="13" s="1"/>
  <c r="K54" i="16"/>
  <c r="G78" i="16"/>
  <c r="H78" i="16" s="1"/>
  <c r="I78" i="16" s="1"/>
  <c r="J29" i="14"/>
  <c r="J112" i="16"/>
  <c r="F16" i="12"/>
  <c r="J54" i="17"/>
  <c r="H117" i="6"/>
  <c r="K52" i="17"/>
  <c r="G51" i="17"/>
  <c r="H51" i="17" s="1"/>
  <c r="I51" i="17" s="1"/>
  <c r="K51" i="17"/>
  <c r="G54" i="17"/>
  <c r="K53" i="17"/>
  <c r="K54" i="17"/>
  <c r="G52" i="17"/>
  <c r="G53" i="17"/>
  <c r="J39" i="17"/>
  <c r="G105" i="8"/>
  <c r="H105" i="8" s="1"/>
  <c r="G99" i="8"/>
  <c r="H90" i="14"/>
  <c r="I90" i="14" s="1"/>
  <c r="G120" i="4"/>
  <c r="G114" i="4"/>
  <c r="G78" i="6"/>
  <c r="G84" i="6"/>
  <c r="H84" i="6" s="1"/>
  <c r="G84" i="5"/>
  <c r="G78" i="5"/>
  <c r="J111" i="17"/>
  <c r="K17" i="5"/>
  <c r="G9" i="8"/>
  <c r="H9" i="8" s="1"/>
  <c r="J3" i="16"/>
  <c r="K6" i="16"/>
  <c r="G3" i="16"/>
  <c r="F112" i="13"/>
  <c r="H112" i="13" s="1"/>
  <c r="I112" i="13" s="1"/>
  <c r="G29" i="16"/>
  <c r="K29" i="16"/>
  <c r="G28" i="16"/>
  <c r="F28" i="16"/>
  <c r="K27" i="16"/>
  <c r="G27" i="16"/>
  <c r="J28" i="16"/>
  <c r="J30" i="16"/>
  <c r="K28" i="16"/>
  <c r="J27" i="16"/>
  <c r="F27" i="16"/>
  <c r="H27" i="16" s="1"/>
  <c r="I27" i="16" s="1"/>
  <c r="F29" i="16"/>
  <c r="J29" i="16"/>
  <c r="G65" i="5"/>
  <c r="G71" i="5"/>
  <c r="J17" i="9"/>
  <c r="H17" i="9"/>
  <c r="I17" i="9" s="1"/>
  <c r="K16" i="14"/>
  <c r="H16" i="14"/>
  <c r="I16" i="14" s="1"/>
  <c r="G22" i="7"/>
  <c r="H22" i="7" s="1"/>
  <c r="G16" i="7"/>
  <c r="J99" i="16"/>
  <c r="J51" i="16"/>
  <c r="H76" i="11"/>
  <c r="I76" i="11" s="1"/>
  <c r="K76" i="11"/>
  <c r="G76" i="17"/>
  <c r="H76" i="17" s="1"/>
  <c r="I76" i="17" s="1"/>
  <c r="K78" i="17"/>
  <c r="G78" i="17"/>
  <c r="K77" i="17"/>
  <c r="G77" i="17"/>
  <c r="K75" i="17"/>
  <c r="G75" i="17"/>
  <c r="K76" i="17"/>
  <c r="H28" i="14"/>
  <c r="I28" i="14" s="1"/>
  <c r="G42" i="17"/>
  <c r="K41" i="17"/>
  <c r="K39" i="17"/>
  <c r="G39" i="17"/>
  <c r="G40" i="17"/>
  <c r="H40" i="17" s="1"/>
  <c r="I40" i="17" s="1"/>
  <c r="G41" i="17"/>
  <c r="H41" i="17" s="1"/>
  <c r="I41" i="17" s="1"/>
  <c r="K40" i="17"/>
  <c r="K42" i="17"/>
  <c r="G114" i="9"/>
  <c r="K114" i="9" s="1"/>
  <c r="G3" i="5"/>
  <c r="G9" i="5"/>
  <c r="H9" i="5" s="1"/>
  <c r="H76" i="12"/>
  <c r="I76" i="12" s="1"/>
  <c r="J76" i="12"/>
  <c r="G52" i="16"/>
  <c r="J90" i="10"/>
  <c r="H90" i="10"/>
  <c r="I90" i="10" s="1"/>
  <c r="H57" i="8"/>
  <c r="G11" i="7"/>
  <c r="H11" i="7" s="1"/>
  <c r="G5" i="7"/>
  <c r="G107" i="8"/>
  <c r="H107" i="8" s="1"/>
  <c r="G101" i="8"/>
  <c r="G76" i="12"/>
  <c r="K76" i="12" s="1"/>
  <c r="G77" i="12"/>
  <c r="K77" i="12" s="1"/>
  <c r="G111" i="12"/>
  <c r="K111" i="12" s="1"/>
  <c r="G112" i="12"/>
  <c r="K112" i="12" s="1"/>
  <c r="G114" i="12"/>
  <c r="K114" i="12" s="1"/>
  <c r="F112" i="12"/>
  <c r="G113" i="12"/>
  <c r="K113" i="12" s="1"/>
  <c r="F113" i="12"/>
  <c r="G35" i="4"/>
  <c r="H35" i="4" s="1"/>
  <c r="G29" i="4"/>
  <c r="G41" i="6"/>
  <c r="G47" i="6"/>
  <c r="H47" i="6" s="1"/>
  <c r="H21" i="3"/>
  <c r="G102" i="14"/>
  <c r="H72" i="6"/>
  <c r="H106" i="15"/>
  <c r="E14" i="27"/>
  <c r="J15" i="17"/>
  <c r="F3" i="12"/>
  <c r="G101" i="14"/>
  <c r="F39" i="10"/>
  <c r="G41" i="3"/>
  <c r="G47" i="3"/>
  <c r="H47" i="3" s="1"/>
  <c r="G105" i="7"/>
  <c r="G99" i="7"/>
  <c r="H107" i="15"/>
  <c r="H10" i="8"/>
  <c r="G18" i="16"/>
  <c r="K112" i="16"/>
  <c r="H41" i="13"/>
  <c r="I41" i="13" s="1"/>
  <c r="G18" i="12"/>
  <c r="K18" i="12" s="1"/>
  <c r="G87" i="9"/>
  <c r="K87" i="9" s="1"/>
  <c r="G4" i="12"/>
  <c r="K4" i="12" s="1"/>
  <c r="J101" i="12"/>
  <c r="H101" i="12"/>
  <c r="I101" i="12" s="1"/>
  <c r="H69" i="5"/>
  <c r="F51" i="12"/>
  <c r="F54" i="12"/>
  <c r="F52" i="12"/>
  <c r="F53" i="12"/>
  <c r="G53" i="12"/>
  <c r="K53" i="12" s="1"/>
  <c r="G47" i="8"/>
  <c r="H47" i="8" s="1"/>
  <c r="F100" i="17"/>
  <c r="F99" i="17"/>
  <c r="H99" i="17" s="1"/>
  <c r="I99" i="17" s="1"/>
  <c r="J100" i="17"/>
  <c r="F101" i="17"/>
  <c r="H101" i="17" s="1"/>
  <c r="I101" i="17" s="1"/>
  <c r="F112" i="17"/>
  <c r="G24" i="4"/>
  <c r="G18" i="4"/>
  <c r="G64" i="4"/>
  <c r="G70" i="4"/>
  <c r="G27" i="14"/>
  <c r="K27" i="14" s="1"/>
  <c r="G105" i="3"/>
  <c r="H105" i="3" s="1"/>
  <c r="F39" i="9"/>
  <c r="G41" i="4"/>
  <c r="G30" i="13"/>
  <c r="H30" i="13" s="1"/>
  <c r="I30" i="13" s="1"/>
  <c r="F28" i="13"/>
  <c r="H28" i="13" s="1"/>
  <c r="I28" i="13" s="1"/>
  <c r="G5" i="10"/>
  <c r="K5" i="10" s="1"/>
  <c r="G49" i="23"/>
  <c r="G43" i="21"/>
  <c r="G49" i="20"/>
  <c r="G49" i="22"/>
  <c r="G50" i="22" s="1"/>
  <c r="G53" i="22" s="1"/>
  <c r="G28" i="6"/>
  <c r="G34" i="6"/>
  <c r="H34" i="6" s="1"/>
  <c r="H42" i="10"/>
  <c r="I42" i="10" s="1"/>
  <c r="J42" i="10"/>
  <c r="G30" i="9"/>
  <c r="K30" i="9" s="1"/>
  <c r="H72" i="5"/>
  <c r="G4" i="6"/>
  <c r="G10" i="6"/>
  <c r="H10" i="6" s="1"/>
  <c r="H22" i="3"/>
  <c r="H21" i="5"/>
  <c r="F63" i="11"/>
  <c r="G64" i="11"/>
  <c r="J64" i="11" s="1"/>
  <c r="G65" i="11"/>
  <c r="J65" i="11" s="1"/>
  <c r="G66" i="11"/>
  <c r="J66" i="11" s="1"/>
  <c r="F65" i="11"/>
  <c r="K112" i="5"/>
  <c r="G23" i="4"/>
  <c r="G17" i="4"/>
  <c r="H24" i="6"/>
  <c r="F100" i="13"/>
  <c r="H100" i="13" s="1"/>
  <c r="I100" i="13" s="1"/>
  <c r="F101" i="13"/>
  <c r="G99" i="13"/>
  <c r="K18" i="5"/>
  <c r="H48" i="4"/>
  <c r="J100" i="12"/>
  <c r="H100" i="12"/>
  <c r="I100" i="12" s="1"/>
  <c r="G21" i="5"/>
  <c r="G15" i="5"/>
  <c r="H111" i="14"/>
  <c r="I111" i="14" s="1"/>
  <c r="G35" i="6"/>
  <c r="H35" i="6" s="1"/>
  <c r="K6" i="5"/>
  <c r="J113" i="17"/>
  <c r="G117" i="5"/>
  <c r="H117" i="5" s="1"/>
  <c r="G28" i="5"/>
  <c r="G34" i="5"/>
  <c r="H34" i="5" s="1"/>
  <c r="H5" i="9"/>
  <c r="I5" i="9" s="1"/>
  <c r="J5" i="9"/>
  <c r="G24" i="8"/>
  <c r="H24" i="8" s="1"/>
  <c r="G29" i="7"/>
  <c r="G35" i="7"/>
  <c r="H35" i="7" s="1"/>
  <c r="G5" i="17"/>
  <c r="K5" i="17"/>
  <c r="K4" i="17"/>
  <c r="G3" i="17"/>
  <c r="K6" i="17"/>
  <c r="G4" i="17"/>
  <c r="K3" i="17"/>
  <c r="G6" i="17"/>
  <c r="G102" i="3"/>
  <c r="K101" i="16"/>
  <c r="H105" i="6"/>
  <c r="K53" i="16"/>
  <c r="J54" i="16"/>
  <c r="G53" i="16"/>
  <c r="H42" i="17"/>
  <c r="I42" i="17" s="1"/>
  <c r="F5" i="27"/>
  <c r="H76" i="14"/>
  <c r="I76" i="14" s="1"/>
  <c r="J76" i="14"/>
  <c r="H54" i="9"/>
  <c r="I54" i="9" s="1"/>
  <c r="J54" i="9"/>
  <c r="J102" i="9"/>
  <c r="H102" i="9"/>
  <c r="I102" i="9" s="1"/>
  <c r="G87" i="14"/>
  <c r="K87" i="14" s="1"/>
  <c r="K102" i="16"/>
  <c r="H33" i="3"/>
  <c r="J5" i="14"/>
  <c r="G40" i="16"/>
  <c r="H40" i="16" s="1"/>
  <c r="I40" i="16" s="1"/>
  <c r="G71" i="7"/>
  <c r="H71" i="7" s="1"/>
  <c r="G65" i="7"/>
  <c r="J114" i="16"/>
  <c r="J53" i="17"/>
  <c r="K15" i="16"/>
  <c r="J87" i="10"/>
  <c r="H87" i="10"/>
  <c r="I87" i="10" s="1"/>
  <c r="J113" i="16"/>
  <c r="J89" i="12"/>
  <c r="H89" i="12"/>
  <c r="I89" i="12" s="1"/>
  <c r="G52" i="10"/>
  <c r="K52" i="10" s="1"/>
  <c r="K101" i="11"/>
  <c r="H45" i="8"/>
  <c r="G66" i="10"/>
  <c r="K66" i="10" s="1"/>
  <c r="G11" i="6"/>
  <c r="H11" i="6" s="1"/>
  <c r="G5" i="6"/>
  <c r="G42" i="8"/>
  <c r="G48" i="8"/>
  <c r="H48" i="8" s="1"/>
  <c r="H118" i="5"/>
  <c r="G30" i="14"/>
  <c r="K30" i="14" s="1"/>
  <c r="G119" i="3"/>
  <c r="G113" i="3"/>
  <c r="G95" i="6"/>
  <c r="H95" i="6" s="1"/>
  <c r="H36" i="7"/>
  <c r="P50" i="27"/>
  <c r="T51" i="27"/>
  <c r="P51" i="27"/>
  <c r="T53" i="27"/>
  <c r="T50" i="27"/>
  <c r="T54" i="27"/>
  <c r="T52" i="27"/>
  <c r="F114" i="13"/>
  <c r="H114" i="13" s="1"/>
  <c r="I114" i="13" s="1"/>
  <c r="H22" i="6"/>
  <c r="J88" i="10"/>
  <c r="H88" i="10"/>
  <c r="I88" i="10" s="1"/>
  <c r="H16" i="10"/>
  <c r="I16" i="10" s="1"/>
  <c r="J16" i="10"/>
  <c r="H78" i="14"/>
  <c r="I78" i="14" s="1"/>
  <c r="J78" i="14"/>
  <c r="H99" i="9"/>
  <c r="I99" i="9" s="1"/>
  <c r="J99" i="9"/>
  <c r="J4" i="14"/>
  <c r="H4" i="14"/>
  <c r="I4" i="14" s="1"/>
  <c r="J51" i="17"/>
  <c r="J87" i="12"/>
  <c r="H87" i="12"/>
  <c r="I87" i="12" s="1"/>
  <c r="F15" i="12"/>
  <c r="J30" i="9"/>
  <c r="J6" i="14"/>
  <c r="G87" i="16"/>
  <c r="H87" i="16" s="1"/>
  <c r="I87" i="16" s="1"/>
  <c r="G90" i="16"/>
  <c r="K90" i="16"/>
  <c r="G89" i="16"/>
  <c r="K88" i="16"/>
  <c r="J90" i="16"/>
  <c r="F89" i="16"/>
  <c r="H89" i="16" s="1"/>
  <c r="I89" i="16" s="1"/>
  <c r="J87" i="16"/>
  <c r="K89" i="16"/>
  <c r="J52" i="17"/>
  <c r="H105" i="7"/>
  <c r="K111" i="16"/>
  <c r="J6" i="12"/>
  <c r="G15" i="12"/>
  <c r="K15" i="12" s="1"/>
  <c r="K87" i="16"/>
  <c r="J87" i="14"/>
  <c r="G107" i="6"/>
  <c r="H107" i="6" s="1"/>
  <c r="G101" i="6"/>
  <c r="H42" i="13"/>
  <c r="I42" i="13" s="1"/>
  <c r="C23" i="27"/>
  <c r="F63" i="16"/>
  <c r="H63" i="16" s="1"/>
  <c r="I63" i="16" s="1"/>
  <c r="G88" i="16"/>
  <c r="H88" i="16" s="1"/>
  <c r="I88" i="16" s="1"/>
  <c r="G15" i="9"/>
  <c r="G76" i="10"/>
  <c r="K76" i="10" s="1"/>
  <c r="G87" i="8"/>
  <c r="G93" i="8"/>
  <c r="H93" i="8" s="1"/>
  <c r="G41" i="10"/>
  <c r="F101" i="9"/>
  <c r="J89" i="10"/>
  <c r="H89" i="10"/>
  <c r="I89" i="10" s="1"/>
  <c r="K39" i="16"/>
  <c r="G69" i="7"/>
  <c r="H69" i="7" s="1"/>
  <c r="G63" i="7"/>
  <c r="J53" i="16"/>
  <c r="F54" i="17"/>
  <c r="G16" i="16"/>
  <c r="K113" i="16"/>
  <c r="F99" i="11"/>
  <c r="H47" i="15"/>
  <c r="G112" i="10"/>
  <c r="K112" i="10" s="1"/>
  <c r="G29" i="9"/>
  <c r="K29" i="9" s="1"/>
  <c r="J102" i="12"/>
  <c r="H102" i="12"/>
  <c r="I102" i="12" s="1"/>
  <c r="G54" i="7"/>
  <c r="G60" i="7"/>
  <c r="H60" i="7" s="1"/>
  <c r="G102" i="4"/>
  <c r="G108" i="4"/>
  <c r="H108" i="4" s="1"/>
  <c r="G16" i="5"/>
  <c r="G22" i="5"/>
  <c r="L41" i="27"/>
  <c r="H84" i="5"/>
  <c r="G85" i="20"/>
  <c r="G75" i="21"/>
  <c r="G85" i="22"/>
  <c r="G86" i="22" s="1"/>
  <c r="G89" i="22" s="1"/>
  <c r="G85" i="23"/>
  <c r="F16" i="13"/>
  <c r="H16" i="13" s="1"/>
  <c r="I16" i="13" s="1"/>
  <c r="G18" i="13"/>
  <c r="H18" i="13" s="1"/>
  <c r="I18" i="13" s="1"/>
  <c r="F15" i="13"/>
  <c r="H15" i="13" s="1"/>
  <c r="I15" i="13" s="1"/>
  <c r="G66" i="3"/>
  <c r="G118" i="4"/>
  <c r="H118" i="4" s="1"/>
  <c r="G112" i="4"/>
  <c r="G40" i="7"/>
  <c r="G46" i="7"/>
  <c r="H46" i="7" s="1"/>
  <c r="G78" i="13"/>
  <c r="S89" i="27"/>
  <c r="S86" i="27"/>
  <c r="O86" i="27"/>
  <c r="S88" i="27"/>
  <c r="S87" i="27"/>
  <c r="O87" i="27"/>
  <c r="H105" i="5"/>
  <c r="H70" i="4"/>
  <c r="G29" i="17"/>
  <c r="H29" i="17" s="1"/>
  <c r="I29" i="17" s="1"/>
  <c r="K28" i="17"/>
  <c r="G28" i="17"/>
  <c r="K27" i="17"/>
  <c r="G27" i="17"/>
  <c r="H27" i="17" s="1"/>
  <c r="I27" i="17" s="1"/>
  <c r="K29" i="17"/>
  <c r="K30" i="17"/>
  <c r="G30" i="17"/>
  <c r="H22" i="5"/>
  <c r="G66" i="13"/>
  <c r="F66" i="13"/>
  <c r="H66" i="13" s="1"/>
  <c r="I66" i="13" s="1"/>
  <c r="G93" i="5"/>
  <c r="H93" i="5" s="1"/>
  <c r="G87" i="5"/>
  <c r="H21" i="6"/>
  <c r="G102" i="16"/>
  <c r="F102" i="16"/>
  <c r="H102" i="16" s="1"/>
  <c r="I102" i="16" s="1"/>
  <c r="G113" i="16"/>
  <c r="G100" i="16"/>
  <c r="K100" i="16"/>
  <c r="J100" i="16"/>
  <c r="F101" i="16"/>
  <c r="K99" i="16"/>
  <c r="J101" i="16"/>
  <c r="G101" i="16"/>
  <c r="G47" i="7"/>
  <c r="G41" i="7"/>
  <c r="H23" i="4"/>
  <c r="J88" i="9"/>
  <c r="H88" i="9"/>
  <c r="I88" i="9" s="1"/>
  <c r="G24" i="6"/>
  <c r="G18" i="6"/>
  <c r="G53" i="3"/>
  <c r="G59" i="3"/>
  <c r="H59" i="3" s="1"/>
  <c r="H99" i="10"/>
  <c r="I99" i="10" s="1"/>
  <c r="G21" i="3"/>
  <c r="H29" i="10"/>
  <c r="I29" i="10" s="1"/>
  <c r="J29" i="10"/>
  <c r="G77" i="13"/>
  <c r="G46" i="5"/>
  <c r="H46" i="5" s="1"/>
  <c r="G40" i="5"/>
  <c r="H57" i="5"/>
  <c r="H33" i="7"/>
  <c r="K29" i="11"/>
  <c r="K30" i="11"/>
  <c r="F29" i="11"/>
  <c r="H29" i="11" s="1"/>
  <c r="I29" i="11" s="1"/>
  <c r="J28" i="11"/>
  <c r="F28" i="11"/>
  <c r="H28" i="11" s="1"/>
  <c r="I28" i="11" s="1"/>
  <c r="G27" i="11"/>
  <c r="G30" i="11"/>
  <c r="K27" i="11"/>
  <c r="J27" i="11"/>
  <c r="F30" i="11"/>
  <c r="H30" i="11" s="1"/>
  <c r="I30" i="11" s="1"/>
  <c r="H47" i="7"/>
  <c r="G77" i="4"/>
  <c r="G83" i="4"/>
  <c r="G15" i="17"/>
  <c r="G18" i="17"/>
  <c r="K16" i="17"/>
  <c r="K15" i="17"/>
  <c r="K18" i="17"/>
  <c r="K17" i="17"/>
  <c r="G17" i="17"/>
  <c r="H17" i="17" s="1"/>
  <c r="I17" i="17" s="1"/>
  <c r="G16" i="17"/>
  <c r="H16" i="17" s="1"/>
  <c r="I16" i="17" s="1"/>
  <c r="G113" i="5"/>
  <c r="G119" i="5"/>
  <c r="H119" i="5" s="1"/>
  <c r="H59" i="7"/>
  <c r="H120" i="4"/>
  <c r="G54" i="5"/>
  <c r="G60" i="5"/>
  <c r="H63" i="17"/>
  <c r="I63" i="17" s="1"/>
  <c r="F100" i="16"/>
  <c r="H100" i="16" s="1"/>
  <c r="I100" i="16" s="1"/>
  <c r="G94" i="7"/>
  <c r="H94" i="7" s="1"/>
  <c r="G88" i="7"/>
  <c r="G75" i="8"/>
  <c r="G81" i="8"/>
  <c r="H81" i="8" s="1"/>
  <c r="J88" i="16"/>
  <c r="G88" i="14"/>
  <c r="K88" i="14" s="1"/>
  <c r="F87" i="13"/>
  <c r="H87" i="13" s="1"/>
  <c r="I87" i="13" s="1"/>
  <c r="F89" i="13"/>
  <c r="H89" i="13" s="1"/>
  <c r="I89" i="13" s="1"/>
  <c r="G88" i="13"/>
  <c r="F88" i="13"/>
  <c r="H112" i="9"/>
  <c r="I112" i="9" s="1"/>
  <c r="J112" i="9"/>
  <c r="K102" i="11"/>
  <c r="H102" i="11"/>
  <c r="I102" i="11" s="1"/>
  <c r="F53" i="10"/>
  <c r="J5" i="11"/>
  <c r="F27" i="9"/>
  <c r="G17" i="7"/>
  <c r="G23" i="7"/>
  <c r="H23" i="7" s="1"/>
  <c r="H105" i="4"/>
  <c r="J113" i="9"/>
  <c r="H113" i="9"/>
  <c r="I113" i="9" s="1"/>
  <c r="G40" i="8"/>
  <c r="G46" i="8"/>
  <c r="G60" i="4"/>
  <c r="G54" i="4"/>
  <c r="H120" i="5"/>
  <c r="H57" i="7"/>
  <c r="F65" i="10"/>
  <c r="G9" i="4"/>
  <c r="H9" i="4" s="1"/>
  <c r="G45" i="5"/>
  <c r="H45" i="5" s="1"/>
  <c r="G39" i="5"/>
  <c r="G34" i="7"/>
  <c r="H34" i="7" s="1"/>
  <c r="G28" i="7"/>
  <c r="H59" i="5"/>
  <c r="H71" i="4"/>
  <c r="H24" i="5"/>
  <c r="G89" i="5"/>
  <c r="G95" i="5"/>
  <c r="H95" i="5" s="1"/>
  <c r="G51" i="4"/>
  <c r="G90" i="7"/>
  <c r="G96" i="7"/>
  <c r="H96" i="7" s="1"/>
  <c r="B43" i="27"/>
  <c r="D41" i="27" s="1"/>
  <c r="F39" i="27" s="1"/>
  <c r="G6" i="14"/>
  <c r="K6" i="14" s="1"/>
  <c r="G77" i="8"/>
  <c r="G83" i="8"/>
  <c r="H83" i="8" s="1"/>
  <c r="H90" i="16"/>
  <c r="I90" i="16" s="1"/>
  <c r="K89" i="14"/>
  <c r="H89" i="14"/>
  <c r="I89" i="14" s="1"/>
  <c r="G63" i="9"/>
  <c r="K63" i="9" s="1"/>
  <c r="H76" i="16"/>
  <c r="I76" i="16" s="1"/>
  <c r="H100" i="9"/>
  <c r="I100" i="9" s="1"/>
  <c r="J100" i="9"/>
  <c r="F53" i="16"/>
  <c r="H53" i="16" s="1"/>
  <c r="I53" i="16" s="1"/>
  <c r="K77" i="11"/>
  <c r="H77" i="11"/>
  <c r="I77" i="11" s="1"/>
  <c r="J52" i="10"/>
  <c r="J64" i="9"/>
  <c r="H64" i="9"/>
  <c r="I64" i="9" s="1"/>
  <c r="G113" i="6"/>
  <c r="G119" i="6"/>
  <c r="H119" i="6" s="1"/>
  <c r="J111" i="10"/>
  <c r="H57" i="3"/>
  <c r="H60" i="4"/>
  <c r="J17" i="17"/>
  <c r="F18" i="17"/>
  <c r="H18" i="17" s="1"/>
  <c r="I18" i="17" s="1"/>
  <c r="G99" i="4"/>
  <c r="H48" i="6"/>
  <c r="H106" i="5"/>
  <c r="G53" i="5"/>
  <c r="G59" i="5"/>
  <c r="G77" i="14"/>
  <c r="K77" i="14" s="1"/>
  <c r="G33" i="7"/>
  <c r="G27" i="7"/>
  <c r="F111" i="11"/>
  <c r="G27" i="5"/>
  <c r="G33" i="5"/>
  <c r="H33" i="5" s="1"/>
  <c r="G4" i="10"/>
  <c r="K4" i="10" s="1"/>
  <c r="J66" i="17"/>
  <c r="F64" i="17"/>
  <c r="J65" i="17"/>
  <c r="F65" i="17"/>
  <c r="H65" i="17" s="1"/>
  <c r="I65" i="17" s="1"/>
  <c r="J63" i="17"/>
  <c r="J64" i="17"/>
  <c r="J3" i="14"/>
  <c r="H3" i="14"/>
  <c r="I3" i="14" s="1"/>
  <c r="J15" i="10"/>
  <c r="H15" i="10"/>
  <c r="I15" i="10" s="1"/>
  <c r="P33" i="27"/>
  <c r="T35" i="27"/>
  <c r="T32" i="27"/>
  <c r="T33" i="27"/>
  <c r="P32" i="27"/>
  <c r="T34" i="27"/>
  <c r="T36" i="27"/>
  <c r="G36" i="8"/>
  <c r="H36" i="8" s="1"/>
  <c r="G30" i="8"/>
  <c r="G52" i="4"/>
  <c r="G58" i="4"/>
  <c r="H58" i="4" s="1"/>
  <c r="H119" i="3"/>
  <c r="F64" i="10"/>
  <c r="G88" i="3"/>
  <c r="G94" i="3"/>
  <c r="H94" i="3" s="1"/>
  <c r="H45" i="6"/>
  <c r="H24" i="4"/>
  <c r="F113" i="16"/>
  <c r="G112" i="16"/>
  <c r="H112" i="16" s="1"/>
  <c r="I112" i="16" s="1"/>
  <c r="G30" i="4"/>
  <c r="G36" i="4"/>
  <c r="H88" i="12"/>
  <c r="I88" i="12" s="1"/>
  <c r="H60" i="5"/>
  <c r="G52" i="3"/>
  <c r="G58" i="3"/>
  <c r="H58" i="3" s="1"/>
  <c r="J75" i="14"/>
  <c r="H75" i="14"/>
  <c r="I75" i="14" s="1"/>
  <c r="G106" i="6"/>
  <c r="H106" i="6" s="1"/>
  <c r="G100" i="6"/>
  <c r="F112" i="11"/>
  <c r="J17" i="16"/>
  <c r="G102" i="6"/>
  <c r="J78" i="10"/>
  <c r="H78" i="10"/>
  <c r="I78" i="10" s="1"/>
  <c r="H114" i="9"/>
  <c r="I114" i="9" s="1"/>
  <c r="J114" i="9"/>
  <c r="K52" i="14"/>
  <c r="H52" i="14"/>
  <c r="I52" i="14" s="1"/>
  <c r="G105" i="6"/>
  <c r="G99" i="6"/>
  <c r="H53" i="17"/>
  <c r="I53" i="17" s="1"/>
  <c r="J76" i="10"/>
  <c r="H76" i="10"/>
  <c r="I76" i="10" s="1"/>
  <c r="H53" i="9"/>
  <c r="I53" i="9" s="1"/>
  <c r="J53" i="9"/>
  <c r="K77" i="9"/>
  <c r="H77" i="9"/>
  <c r="I77" i="9" s="1"/>
  <c r="G113" i="17"/>
  <c r="K112" i="17"/>
  <c r="K111" i="17"/>
  <c r="G114" i="17"/>
  <c r="H114" i="17" s="1"/>
  <c r="I114" i="17" s="1"/>
  <c r="K113" i="17"/>
  <c r="G112" i="17"/>
  <c r="K114" i="17"/>
  <c r="G111" i="17"/>
  <c r="H107" i="5"/>
  <c r="G35" i="5"/>
  <c r="H35" i="5" s="1"/>
  <c r="G29" i="5"/>
  <c r="K65" i="17"/>
  <c r="K63" i="17"/>
  <c r="K66" i="17"/>
  <c r="G65" i="17"/>
  <c r="G64" i="17"/>
  <c r="G63" i="17"/>
  <c r="K64" i="17"/>
  <c r="G66" i="17"/>
  <c r="H66" i="17" s="1"/>
  <c r="I66" i="17" s="1"/>
  <c r="F17" i="10"/>
  <c r="K52" i="16"/>
  <c r="H64" i="14"/>
  <c r="I64" i="14" s="1"/>
  <c r="J64" i="14"/>
  <c r="F52" i="13"/>
  <c r="H52" i="13" s="1"/>
  <c r="I52" i="13" s="1"/>
  <c r="J63" i="12"/>
  <c r="F111" i="12"/>
  <c r="G118" i="8"/>
  <c r="H118" i="8" s="1"/>
  <c r="G112" i="8"/>
  <c r="J88" i="17"/>
  <c r="K90" i="17"/>
  <c r="G88" i="17"/>
  <c r="F88" i="17"/>
  <c r="J87" i="17"/>
  <c r="F87" i="17"/>
  <c r="H87" i="17" s="1"/>
  <c r="I87" i="17" s="1"/>
  <c r="H27" i="12"/>
  <c r="I27" i="12" s="1"/>
  <c r="J27" i="12"/>
  <c r="K87" i="17"/>
  <c r="F52" i="16"/>
  <c r="H52" i="16" s="1"/>
  <c r="I52" i="16" s="1"/>
  <c r="H17" i="14"/>
  <c r="I17" i="14" s="1"/>
  <c r="F77" i="13"/>
  <c r="H77" i="13" s="1"/>
  <c r="I77" i="13" s="1"/>
  <c r="J63" i="9"/>
  <c r="H89" i="9"/>
  <c r="I89" i="9" s="1"/>
  <c r="J89" i="9"/>
  <c r="G4" i="11"/>
  <c r="G112" i="6"/>
  <c r="G118" i="6"/>
  <c r="H118" i="6" s="1"/>
  <c r="H83" i="4"/>
  <c r="H57" i="4"/>
  <c r="G28" i="8"/>
  <c r="G34" i="8"/>
  <c r="H34" i="8" s="1"/>
  <c r="H82" i="4"/>
  <c r="G75" i="11"/>
  <c r="J75" i="11" s="1"/>
  <c r="F78" i="11"/>
  <c r="H119" i="7"/>
  <c r="H78" i="2"/>
  <c r="I78" i="2" s="1"/>
  <c r="H59" i="6"/>
  <c r="H58" i="5"/>
  <c r="G66" i="4"/>
  <c r="G72" i="4"/>
  <c r="H72" i="4" s="1"/>
  <c r="J77" i="14"/>
  <c r="H77" i="14"/>
  <c r="I77" i="14" s="1"/>
  <c r="H117" i="3"/>
  <c r="F114" i="11"/>
  <c r="F15" i="16"/>
  <c r="H15" i="16" s="1"/>
  <c r="I15" i="16" s="1"/>
  <c r="G36" i="5"/>
  <c r="H36" i="5" s="1"/>
  <c r="G30" i="5"/>
  <c r="F28" i="12"/>
  <c r="F30" i="12"/>
  <c r="G30" i="12"/>
  <c r="K30" i="12" s="1"/>
  <c r="F5" i="10"/>
  <c r="F87" i="11"/>
  <c r="G88" i="4"/>
  <c r="H90" i="12"/>
  <c r="I90" i="12" s="1"/>
  <c r="J90" i="12"/>
  <c r="H46" i="8"/>
  <c r="G53" i="7"/>
  <c r="G59" i="7"/>
  <c r="G93" i="7"/>
  <c r="H93" i="7" s="1"/>
  <c r="G87" i="7"/>
  <c r="H94" i="8"/>
  <c r="G18" i="7"/>
  <c r="G24" i="7"/>
  <c r="H24" i="7" s="1"/>
  <c r="G106" i="4"/>
  <c r="H106" i="4" s="1"/>
  <c r="G100" i="4"/>
  <c r="H119" i="15"/>
  <c r="J78" i="9"/>
  <c r="H78" i="9"/>
  <c r="I78" i="9" s="1"/>
  <c r="F99" i="13"/>
  <c r="G81" i="3"/>
  <c r="H81" i="3" s="1"/>
  <c r="G75" i="3"/>
  <c r="H29" i="12"/>
  <c r="I29" i="12" s="1"/>
  <c r="J29" i="12"/>
  <c r="F54" i="16"/>
  <c r="H54" i="16" s="1"/>
  <c r="I54" i="16" s="1"/>
  <c r="F78" i="13"/>
  <c r="H78" i="13" s="1"/>
  <c r="I78" i="13" s="1"/>
  <c r="G90" i="9"/>
  <c r="K90" i="9" s="1"/>
  <c r="H66" i="10"/>
  <c r="I66" i="10" s="1"/>
  <c r="J66" i="10"/>
  <c r="F54" i="11"/>
  <c r="G53" i="11"/>
  <c r="J53" i="11" s="1"/>
  <c r="F51" i="11"/>
  <c r="F52" i="11"/>
  <c r="F53" i="11"/>
  <c r="G51" i="11"/>
  <c r="J51" i="11" s="1"/>
  <c r="G54" i="11"/>
  <c r="J54" i="11" s="1"/>
  <c r="G53" i="4"/>
  <c r="G83" i="6"/>
  <c r="H83" i="6" s="1"/>
  <c r="G77" i="6"/>
  <c r="G100" i="17"/>
  <c r="K99" i="17"/>
  <c r="K100" i="17"/>
  <c r="G101" i="17"/>
  <c r="K101" i="17"/>
  <c r="G102" i="17"/>
  <c r="H102" i="17" s="1"/>
  <c r="I102" i="17" s="1"/>
  <c r="K102" i="17"/>
  <c r="G99" i="17"/>
  <c r="J63" i="10"/>
  <c r="H63" i="10"/>
  <c r="I63" i="10" s="1"/>
  <c r="G87" i="3"/>
  <c r="G93" i="3"/>
  <c r="H93" i="3" s="1"/>
  <c r="H46" i="6"/>
  <c r="G41" i="5"/>
  <c r="G47" i="5"/>
  <c r="H47" i="5" s="1"/>
  <c r="H71" i="5"/>
  <c r="G45" i="6"/>
  <c r="G39" i="6"/>
  <c r="G54" i="3"/>
  <c r="G60" i="3"/>
  <c r="H60" i="3" s="1"/>
  <c r="G107" i="3"/>
  <c r="H107" i="3" s="1"/>
  <c r="G101" i="3"/>
  <c r="F18" i="16"/>
  <c r="H18" i="16" s="1"/>
  <c r="I18" i="16" s="1"/>
  <c r="G111" i="3"/>
  <c r="G117" i="3"/>
  <c r="G87" i="11"/>
  <c r="J87" i="11" s="1"/>
  <c r="G96" i="5"/>
  <c r="G90" i="5"/>
  <c r="K77" i="5"/>
  <c r="H28" i="9"/>
  <c r="I28" i="9" s="1"/>
  <c r="J28" i="9"/>
  <c r="G84" i="8"/>
  <c r="H84" i="8" s="1"/>
  <c r="G78" i="8"/>
  <c r="H113" i="11"/>
  <c r="I113" i="11" s="1"/>
  <c r="K113" i="11"/>
  <c r="G94" i="5"/>
  <c r="H94" i="5" s="1"/>
  <c r="G88" i="5"/>
  <c r="H63" i="14"/>
  <c r="I63" i="14" s="1"/>
  <c r="J63" i="14"/>
  <c r="H66" i="11"/>
  <c r="I66" i="11" s="1"/>
  <c r="K66" i="11"/>
  <c r="J18" i="10"/>
  <c r="H18" i="10"/>
  <c r="I18" i="10" s="1"/>
  <c r="H90" i="17"/>
  <c r="I90" i="17" s="1"/>
  <c r="J39" i="11"/>
  <c r="G120" i="8"/>
  <c r="G114" i="8"/>
  <c r="G111" i="11"/>
  <c r="J111" i="11" s="1"/>
  <c r="G90" i="17"/>
  <c r="F51" i="16"/>
  <c r="H51" i="16" s="1"/>
  <c r="I51" i="16" s="1"/>
  <c r="H39" i="14"/>
  <c r="I39" i="14" s="1"/>
  <c r="G40" i="9"/>
  <c r="K40" i="9" s="1"/>
  <c r="J3" i="11"/>
  <c r="G11" i="4"/>
  <c r="H11" i="4" s="1"/>
  <c r="G5" i="4"/>
  <c r="G34" i="3"/>
  <c r="H34" i="3" s="1"/>
  <c r="G28" i="3"/>
  <c r="G83" i="7"/>
  <c r="H83" i="7" s="1"/>
  <c r="O33" i="27"/>
  <c r="S35" i="27"/>
  <c r="S32" i="27"/>
  <c r="O32" i="27"/>
  <c r="S33" i="27"/>
  <c r="S34" i="27"/>
  <c r="G96" i="3"/>
  <c r="H96" i="3" s="1"/>
  <c r="G90" i="3"/>
  <c r="H108" i="8"/>
  <c r="G35" i="8"/>
  <c r="G29" i="8"/>
  <c r="J18" i="11"/>
  <c r="K18" i="11"/>
  <c r="F18" i="11"/>
  <c r="H18" i="11" s="1"/>
  <c r="I18" i="11" s="1"/>
  <c r="G17" i="11"/>
  <c r="H17" i="11" s="1"/>
  <c r="I17" i="11" s="1"/>
  <c r="G16" i="11"/>
  <c r="F16" i="11"/>
  <c r="H16" i="11" s="1"/>
  <c r="I16" i="11" s="1"/>
  <c r="J15" i="11"/>
  <c r="J16" i="11"/>
  <c r="K15" i="11"/>
  <c r="G118" i="7"/>
  <c r="H118" i="7" s="1"/>
  <c r="G112" i="7"/>
  <c r="H81" i="4"/>
  <c r="G102" i="5"/>
  <c r="G108" i="5"/>
  <c r="H108" i="5" s="1"/>
  <c r="H88" i="2"/>
  <c r="I88" i="2" s="1"/>
  <c r="G42" i="5"/>
  <c r="G48" i="5"/>
  <c r="H48" i="5" s="1"/>
  <c r="H36" i="4"/>
  <c r="H75" i="2"/>
  <c r="I75" i="2" s="1"/>
  <c r="G57" i="3"/>
  <c r="G51" i="3"/>
  <c r="G78" i="14"/>
  <c r="K78" i="14" s="1"/>
  <c r="F17" i="16"/>
  <c r="H17" i="16" s="1"/>
  <c r="I17" i="16" s="1"/>
  <c r="G118" i="3"/>
  <c r="H118" i="3" s="1"/>
  <c r="G112" i="3"/>
  <c r="G64" i="5"/>
  <c r="G70" i="5"/>
  <c r="H70" i="5" s="1"/>
  <c r="F6" i="10"/>
  <c r="F90" i="11"/>
  <c r="G17" i="6"/>
  <c r="G23" i="6"/>
  <c r="H23" i="6" s="1"/>
  <c r="G45" i="4"/>
  <c r="H45" i="4" s="1"/>
  <c r="H16" i="9"/>
  <c r="I16" i="9" s="1"/>
  <c r="H51" i="13"/>
  <c r="I51" i="13" s="1"/>
  <c r="F27" i="10"/>
  <c r="H114" i="12"/>
  <c r="I114" i="12" s="1"/>
  <c r="J114" i="12"/>
  <c r="H120" i="8"/>
  <c r="H75" i="16"/>
  <c r="I75" i="16" s="1"/>
  <c r="G76" i="13"/>
  <c r="H76" i="13" s="1"/>
  <c r="I76" i="13" s="1"/>
  <c r="J40" i="16"/>
  <c r="K40" i="11"/>
  <c r="H96" i="5"/>
  <c r="H120" i="15"/>
  <c r="H35" i="15"/>
  <c r="G41" i="14"/>
  <c r="F41" i="16"/>
  <c r="H41" i="16" s="1"/>
  <c r="I41" i="16" s="1"/>
  <c r="F27" i="11"/>
  <c r="H27" i="11" s="1"/>
  <c r="I27" i="11" s="1"/>
  <c r="G54" i="9"/>
  <c r="K54" i="9" s="1"/>
  <c r="G39" i="11"/>
  <c r="F28" i="17"/>
  <c r="H28" i="17" s="1"/>
  <c r="I28" i="17" s="1"/>
  <c r="F102" i="13"/>
  <c r="H102" i="13" s="1"/>
  <c r="I102" i="13" s="1"/>
  <c r="G39" i="9"/>
  <c r="K39" i="9" s="1"/>
  <c r="F75" i="12"/>
  <c r="K89" i="17"/>
  <c r="G111" i="10"/>
  <c r="K111" i="10" s="1"/>
  <c r="H69" i="8"/>
  <c r="H27" i="13"/>
  <c r="I27" i="13" s="1"/>
  <c r="H35" i="8"/>
  <c r="J66" i="9"/>
  <c r="H66" i="9"/>
  <c r="I66" i="9" s="1"/>
  <c r="H59" i="4"/>
  <c r="G40" i="22"/>
  <c r="G41" i="22" s="1"/>
  <c r="G44" i="22" s="1"/>
  <c r="G40" i="23"/>
  <c r="G35" i="21"/>
  <c r="G40" i="20"/>
  <c r="G21" i="4"/>
  <c r="H21" i="4" s="1"/>
  <c r="G15" i="4"/>
  <c r="H15" i="14"/>
  <c r="I15" i="14" s="1"/>
  <c r="G40" i="6"/>
  <c r="G46" i="6"/>
  <c r="J15" i="16"/>
  <c r="G120" i="3"/>
  <c r="H120" i="3" s="1"/>
  <c r="G114" i="3"/>
  <c r="G84" i="3"/>
  <c r="H84" i="3" s="1"/>
  <c r="I6" i="1" a="1"/>
  <c r="H3" i="9" l="1"/>
  <c r="I3" i="9" s="1"/>
  <c r="H4" i="9"/>
  <c r="I4" i="9" s="1"/>
  <c r="I6" i="1"/>
  <c r="H6" i="12"/>
  <c r="I6" i="12" s="1"/>
  <c r="H5" i="14"/>
  <c r="I5" i="14" s="1"/>
  <c r="H3" i="10"/>
  <c r="I3" i="10" s="1"/>
  <c r="H6" i="16"/>
  <c r="I6" i="16" s="1"/>
  <c r="H5" i="17"/>
  <c r="I5" i="17" s="1"/>
  <c r="H3" i="11"/>
  <c r="I3" i="11" s="1"/>
  <c r="E79" i="21"/>
  <c r="E71" i="21"/>
  <c r="E63" i="21"/>
  <c r="E55" i="21"/>
  <c r="E39" i="21"/>
  <c r="E31" i="21"/>
  <c r="E23" i="21"/>
  <c r="E15" i="21"/>
  <c r="E47" i="21"/>
  <c r="M111" i="5"/>
  <c r="M111" i="3"/>
  <c r="M111" i="8"/>
  <c r="M111" i="7"/>
  <c r="M111" i="6"/>
  <c r="L111" i="15"/>
  <c r="M111" i="4"/>
  <c r="M87" i="7"/>
  <c r="M87" i="5"/>
  <c r="M87" i="3"/>
  <c r="L87" i="15"/>
  <c r="M87" i="4"/>
  <c r="M87" i="8"/>
  <c r="M87" i="6"/>
  <c r="I76" i="21"/>
  <c r="I68" i="21"/>
  <c r="I60" i="21"/>
  <c r="I52" i="21"/>
  <c r="I44" i="21"/>
  <c r="I36" i="21"/>
  <c r="I28" i="21"/>
  <c r="I20" i="21"/>
  <c r="I12" i="21"/>
  <c r="M63" i="7"/>
  <c r="L63" i="15"/>
  <c r="M63" i="4"/>
  <c r="M63" i="8"/>
  <c r="M63" i="6"/>
  <c r="M63" i="3"/>
  <c r="M63" i="5"/>
  <c r="M51" i="3"/>
  <c r="M51" i="5"/>
  <c r="L51" i="15"/>
  <c r="M51" i="6"/>
  <c r="M51" i="4"/>
  <c r="M51" i="7"/>
  <c r="M51" i="8"/>
  <c r="G87" i="23"/>
  <c r="G86" i="23"/>
  <c r="G78" i="23"/>
  <c r="G77" i="23"/>
  <c r="G69" i="23"/>
  <c r="G68" i="23"/>
  <c r="G60" i="23"/>
  <c r="G59" i="23"/>
  <c r="G51" i="23"/>
  <c r="G50" i="23"/>
  <c r="G42" i="23"/>
  <c r="G41" i="23"/>
  <c r="G33" i="23"/>
  <c r="G32" i="23"/>
  <c r="G24" i="23"/>
  <c r="G23" i="23"/>
  <c r="G15" i="23"/>
  <c r="G14" i="23"/>
  <c r="H89" i="20"/>
  <c r="G59" i="20"/>
  <c r="H80" i="20"/>
  <c r="G50" i="20"/>
  <c r="H71" i="20"/>
  <c r="G41" i="20"/>
  <c r="H62" i="20"/>
  <c r="G32" i="20"/>
  <c r="H53" i="20"/>
  <c r="G23" i="20"/>
  <c r="H44" i="20"/>
  <c r="G14" i="20"/>
  <c r="H35" i="20"/>
  <c r="G5" i="20"/>
  <c r="H6" i="17"/>
  <c r="I6" i="17" s="1"/>
  <c r="H3" i="16"/>
  <c r="I3" i="16" s="1"/>
  <c r="H4" i="11"/>
  <c r="I4" i="11" s="1"/>
  <c r="H4" i="16"/>
  <c r="I4" i="16" s="1"/>
  <c r="H5" i="16"/>
  <c r="I5" i="16" s="1"/>
  <c r="H4" i="13"/>
  <c r="I4" i="13" s="1"/>
  <c r="H5" i="13"/>
  <c r="I5" i="13" s="1"/>
  <c r="H6" i="11"/>
  <c r="I6" i="11" s="1"/>
  <c r="H6" i="13"/>
  <c r="I6" i="13" s="1"/>
  <c r="L77" i="27"/>
  <c r="I77" i="27" s="1"/>
  <c r="R77" i="27" s="1"/>
  <c r="K60" i="27"/>
  <c r="H60" i="27" s="1"/>
  <c r="Q60" i="27" s="1"/>
  <c r="L42" i="27"/>
  <c r="I42" i="27" s="1"/>
  <c r="R42" i="27" s="1"/>
  <c r="L24" i="27"/>
  <c r="I24" i="27" s="1"/>
  <c r="R24" i="27" s="1"/>
  <c r="K42" i="27"/>
  <c r="H42" i="27" s="1"/>
  <c r="Q42" i="27" s="1"/>
  <c r="K50" i="27"/>
  <c r="H50" i="27" s="1"/>
  <c r="Q50" i="27" s="1"/>
  <c r="K68" i="27"/>
  <c r="L68" i="27"/>
  <c r="I68" i="27" s="1"/>
  <c r="R68" i="27" s="1"/>
  <c r="L15" i="27"/>
  <c r="I15" i="27" s="1"/>
  <c r="R15" i="27" s="1"/>
  <c r="L86" i="27"/>
  <c r="I86" i="27" s="1"/>
  <c r="R86" i="27" s="1"/>
  <c r="L5" i="27"/>
  <c r="I5" i="27" s="1"/>
  <c r="R5" i="27" s="1"/>
  <c r="L14" i="27"/>
  <c r="I14" i="27" s="1"/>
  <c r="R14" i="27" s="1"/>
  <c r="L87" i="27"/>
  <c r="I87" i="27" s="1"/>
  <c r="R87" i="27" s="1"/>
  <c r="L6" i="27"/>
  <c r="I6" i="27" s="1"/>
  <c r="R6" i="27" s="1"/>
  <c r="L78" i="27"/>
  <c r="I78" i="27" s="1"/>
  <c r="R78" i="27" s="1"/>
  <c r="K14" i="27"/>
  <c r="K15" i="27"/>
  <c r="L59" i="27"/>
  <c r="I59" i="27" s="1"/>
  <c r="R59" i="27" s="1"/>
  <c r="K41" i="27"/>
  <c r="J41" i="27" s="1"/>
  <c r="K69" i="27"/>
  <c r="K63" i="5"/>
  <c r="J41" i="9"/>
  <c r="H41" i="9"/>
  <c r="I41" i="9" s="1"/>
  <c r="H4" i="10"/>
  <c r="I4" i="10" s="1"/>
  <c r="H39" i="16"/>
  <c r="I39" i="16" s="1"/>
  <c r="H78" i="11"/>
  <c r="I78" i="11" s="1"/>
  <c r="K78" i="11"/>
  <c r="K111" i="9"/>
  <c r="H111" i="9"/>
  <c r="I111" i="9" s="1"/>
  <c r="K52" i="5"/>
  <c r="K41" i="5"/>
  <c r="H30" i="12"/>
  <c r="I30" i="12" s="1"/>
  <c r="J30" i="12"/>
  <c r="H53" i="11"/>
  <c r="I53" i="11" s="1"/>
  <c r="K53" i="11"/>
  <c r="J28" i="12"/>
  <c r="H28" i="12"/>
  <c r="I28" i="12" s="1"/>
  <c r="U24" i="1"/>
  <c r="K54" i="5"/>
  <c r="K15" i="9"/>
  <c r="H15" i="9"/>
  <c r="I15" i="9" s="1"/>
  <c r="J18" i="12"/>
  <c r="H18" i="12"/>
  <c r="I18" i="12" s="1"/>
  <c r="J17" i="12"/>
  <c r="H17" i="12"/>
  <c r="I17" i="12" s="1"/>
  <c r="H39" i="17"/>
  <c r="I39" i="17" s="1"/>
  <c r="H112" i="17"/>
  <c r="I112" i="17" s="1"/>
  <c r="H66" i="16"/>
  <c r="I66" i="16" s="1"/>
  <c r="K114" i="14"/>
  <c r="H114" i="14"/>
  <c r="I114" i="14" s="1"/>
  <c r="H87" i="9"/>
  <c r="I87" i="9" s="1"/>
  <c r="K30" i="5"/>
  <c r="V28" i="1"/>
  <c r="J113" i="12"/>
  <c r="H113" i="12"/>
  <c r="I113" i="12" s="1"/>
  <c r="H75" i="11"/>
  <c r="I75" i="11" s="1"/>
  <c r="L50" i="27"/>
  <c r="I50" i="27" s="1"/>
  <c r="R50" i="27" s="1"/>
  <c r="L51" i="27"/>
  <c r="I51" i="27" s="1"/>
  <c r="R51" i="27" s="1"/>
  <c r="K42" i="5"/>
  <c r="K87" i="5"/>
  <c r="K102" i="5"/>
  <c r="K3" i="5"/>
  <c r="K4" i="5"/>
  <c r="H64" i="11"/>
  <c r="I64" i="11" s="1"/>
  <c r="K112" i="11"/>
  <c r="H112" i="11"/>
  <c r="I112" i="11" s="1"/>
  <c r="H101" i="13"/>
  <c r="I101" i="13" s="1"/>
  <c r="H64" i="17"/>
  <c r="I64" i="17" s="1"/>
  <c r="K113" i="5"/>
  <c r="H100" i="17"/>
  <c r="I100" i="17" s="1"/>
  <c r="J112" i="12"/>
  <c r="H112" i="12"/>
  <c r="I112" i="12" s="1"/>
  <c r="H28" i="16"/>
  <c r="I28" i="16" s="1"/>
  <c r="H40" i="9"/>
  <c r="I40" i="9" s="1"/>
  <c r="J27" i="9"/>
  <c r="H27" i="9"/>
  <c r="I27" i="9" s="1"/>
  <c r="H52" i="11"/>
  <c r="I52" i="11" s="1"/>
  <c r="K52" i="11"/>
  <c r="V24" i="1"/>
  <c r="J64" i="10"/>
  <c r="H64" i="10"/>
  <c r="I64" i="10" s="1"/>
  <c r="J42" i="9"/>
  <c r="H42" i="9"/>
  <c r="I42" i="9" s="1"/>
  <c r="K90" i="5"/>
  <c r="K54" i="11"/>
  <c r="H54" i="11"/>
  <c r="I54" i="11" s="1"/>
  <c r="K114" i="11"/>
  <c r="H114" i="11"/>
  <c r="I114" i="11" s="1"/>
  <c r="K87" i="27"/>
  <c r="K86" i="27"/>
  <c r="H86" i="27" s="1"/>
  <c r="Q86" i="27" s="1"/>
  <c r="H99" i="11"/>
  <c r="I99" i="11" s="1"/>
  <c r="K99" i="11"/>
  <c r="U28" i="1"/>
  <c r="K28" i="5"/>
  <c r="J17" i="10"/>
  <c r="H17" i="10"/>
  <c r="I17" i="10" s="1"/>
  <c r="J75" i="12"/>
  <c r="H75" i="12"/>
  <c r="I75" i="12" s="1"/>
  <c r="K32" i="27"/>
  <c r="H32" i="27" s="1"/>
  <c r="Q32" i="27" s="1"/>
  <c r="K33" i="27"/>
  <c r="J53" i="10"/>
  <c r="H53" i="10"/>
  <c r="I53" i="10" s="1"/>
  <c r="J65" i="10"/>
  <c r="H65" i="10"/>
  <c r="I65" i="10" s="1"/>
  <c r="H88" i="17"/>
  <c r="I88" i="17" s="1"/>
  <c r="H88" i="13"/>
  <c r="I88" i="13" s="1"/>
  <c r="U12" i="1"/>
  <c r="H54" i="17"/>
  <c r="I54" i="17" s="1"/>
  <c r="H87" i="14"/>
  <c r="I87" i="14" s="1"/>
  <c r="H4" i="12"/>
  <c r="I4" i="12" s="1"/>
  <c r="V36" i="1"/>
  <c r="H39" i="11"/>
  <c r="I39" i="11" s="1"/>
  <c r="K66" i="5"/>
  <c r="H77" i="17"/>
  <c r="I77" i="17" s="1"/>
  <c r="J64" i="12"/>
  <c r="H64" i="12"/>
  <c r="I64" i="12" s="1"/>
  <c r="J5" i="12"/>
  <c r="H5" i="12"/>
  <c r="I5" i="12" s="1"/>
  <c r="H30" i="14"/>
  <c r="I30" i="14" s="1"/>
  <c r="V12" i="1"/>
  <c r="U36" i="1"/>
  <c r="U8" i="1"/>
  <c r="H78" i="17"/>
  <c r="I78" i="17" s="1"/>
  <c r="K114" i="5"/>
  <c r="K39" i="5"/>
  <c r="L23" i="27"/>
  <c r="I23" i="27" s="1"/>
  <c r="R23" i="27" s="1"/>
  <c r="K51" i="27"/>
  <c r="H51" i="27" s="1"/>
  <c r="Q51" i="27" s="1"/>
  <c r="H53" i="12"/>
  <c r="I53" i="12" s="1"/>
  <c r="J53" i="12"/>
  <c r="J39" i="12"/>
  <c r="H39" i="12"/>
  <c r="I39" i="12" s="1"/>
  <c r="V8" i="1"/>
  <c r="J65" i="12"/>
  <c r="H65" i="12"/>
  <c r="I65" i="12" s="1"/>
  <c r="K51" i="5"/>
  <c r="H54" i="10"/>
  <c r="I54" i="10" s="1"/>
  <c r="U4" i="1"/>
  <c r="K5" i="27"/>
  <c r="H5" i="27" s="1"/>
  <c r="Q5" i="27" s="1"/>
  <c r="K40" i="5"/>
  <c r="H6" i="14"/>
  <c r="I6" i="14" s="1"/>
  <c r="J52" i="12"/>
  <c r="H52" i="12"/>
  <c r="I52" i="12" s="1"/>
  <c r="H39" i="10"/>
  <c r="I39" i="10" s="1"/>
  <c r="J39" i="10"/>
  <c r="J29" i="9"/>
  <c r="H29" i="9"/>
  <c r="I29" i="9" s="1"/>
  <c r="J6" i="10"/>
  <c r="H6" i="10"/>
  <c r="I6" i="10" s="1"/>
  <c r="K64" i="5"/>
  <c r="H65" i="11"/>
  <c r="I65" i="11" s="1"/>
  <c r="K65" i="11"/>
  <c r="J54" i="12"/>
  <c r="H54" i="12"/>
  <c r="I54" i="12" s="1"/>
  <c r="K101" i="14"/>
  <c r="H101" i="14"/>
  <c r="I101" i="14" s="1"/>
  <c r="U16" i="1"/>
  <c r="H113" i="17"/>
  <c r="I113" i="17" s="1"/>
  <c r="H77" i="12"/>
  <c r="I77" i="12" s="1"/>
  <c r="H90" i="9"/>
  <c r="I90" i="9" s="1"/>
  <c r="J51" i="12"/>
  <c r="H51" i="12"/>
  <c r="I51" i="12" s="1"/>
  <c r="V4" i="1"/>
  <c r="K6" i="27"/>
  <c r="I41" i="27"/>
  <c r="R41" i="27" s="1"/>
  <c r="V20" i="1"/>
  <c r="K111" i="11"/>
  <c r="H111" i="11"/>
  <c r="I111" i="11" s="1"/>
  <c r="U20" i="1"/>
  <c r="H3" i="12"/>
  <c r="I3" i="12" s="1"/>
  <c r="J3" i="12"/>
  <c r="V16" i="1"/>
  <c r="H40" i="12"/>
  <c r="I40" i="12" s="1"/>
  <c r="K99" i="5"/>
  <c r="K5" i="5"/>
  <c r="K101" i="5"/>
  <c r="H112" i="10"/>
  <c r="I112" i="10" s="1"/>
  <c r="H27" i="10"/>
  <c r="I27" i="10" s="1"/>
  <c r="J27" i="10"/>
  <c r="J111" i="12"/>
  <c r="H111" i="12"/>
  <c r="I111" i="12" s="1"/>
  <c r="L32" i="27"/>
  <c r="I32" i="27" s="1"/>
  <c r="R32" i="27" s="1"/>
  <c r="L33" i="27"/>
  <c r="I33" i="27" s="1"/>
  <c r="R33" i="27" s="1"/>
  <c r="H52" i="10"/>
  <c r="I52" i="10" s="1"/>
  <c r="H30" i="9"/>
  <c r="I30" i="9" s="1"/>
  <c r="H41" i="12"/>
  <c r="I41" i="12" s="1"/>
  <c r="J41" i="12"/>
  <c r="H111" i="17"/>
  <c r="I111" i="17" s="1"/>
  <c r="H51" i="11"/>
  <c r="I51" i="11" s="1"/>
  <c r="K51" i="11"/>
  <c r="U32" i="1"/>
  <c r="K16" i="5"/>
  <c r="K90" i="11"/>
  <c r="H90" i="11"/>
  <c r="I90" i="11" s="1"/>
  <c r="H111" i="10"/>
  <c r="I111" i="10" s="1"/>
  <c r="K27" i="5"/>
  <c r="K88" i="5"/>
  <c r="H99" i="13"/>
  <c r="I99" i="13" s="1"/>
  <c r="U40" i="1"/>
  <c r="K29" i="5"/>
  <c r="H101" i="16"/>
  <c r="I101" i="16" s="1"/>
  <c r="J39" i="9"/>
  <c r="H39" i="9"/>
  <c r="I39" i="9" s="1"/>
  <c r="K78" i="5"/>
  <c r="K59" i="27"/>
  <c r="H59" i="27" s="1"/>
  <c r="Q59" i="27" s="1"/>
  <c r="V40" i="1"/>
  <c r="L69" i="27"/>
  <c r="I69" i="27" s="1"/>
  <c r="R69" i="27" s="1"/>
  <c r="K89" i="5"/>
  <c r="V32" i="1"/>
  <c r="J101" i="9"/>
  <c r="H101" i="9"/>
  <c r="I101" i="9" s="1"/>
  <c r="J15" i="12"/>
  <c r="H15" i="12"/>
  <c r="I15" i="12" s="1"/>
  <c r="K15" i="5"/>
  <c r="H63" i="11"/>
  <c r="I63" i="11" s="1"/>
  <c r="K63" i="11"/>
  <c r="K65" i="5"/>
  <c r="J16" i="12"/>
  <c r="H16" i="12"/>
  <c r="I16" i="12" s="1"/>
  <c r="H4" i="17"/>
  <c r="I4" i="17" s="1"/>
  <c r="J42" i="12"/>
  <c r="H42" i="12"/>
  <c r="I42" i="12" s="1"/>
  <c r="K76" i="5"/>
  <c r="K78" i="27"/>
  <c r="K41" i="14"/>
  <c r="H41" i="14"/>
  <c r="I41" i="14" s="1"/>
  <c r="H63" i="9"/>
  <c r="I63" i="9" s="1"/>
  <c r="H113" i="16"/>
  <c r="I113" i="16" s="1"/>
  <c r="K41" i="10"/>
  <c r="H41" i="10"/>
  <c r="I41" i="10" s="1"/>
  <c r="H101" i="11"/>
  <c r="I101" i="11" s="1"/>
  <c r="K23" i="27"/>
  <c r="H23" i="27" s="1"/>
  <c r="Q23" i="27" s="1"/>
  <c r="H3" i="17"/>
  <c r="I3" i="17" s="1"/>
  <c r="K77" i="27"/>
  <c r="H77" i="27" s="1"/>
  <c r="Q77" i="27" s="1"/>
  <c r="H42" i="16"/>
  <c r="I42" i="16" s="1"/>
  <c r="L60" i="27"/>
  <c r="I60" i="27" s="1"/>
  <c r="R60" i="27" s="1"/>
  <c r="K87" i="11"/>
  <c r="H87" i="11"/>
  <c r="I87" i="11" s="1"/>
  <c r="J5" i="10"/>
  <c r="H5" i="10"/>
  <c r="I5" i="10" s="1"/>
  <c r="H63" i="12"/>
  <c r="I63" i="12" s="1"/>
  <c r="K53" i="5"/>
  <c r="K24" i="27"/>
  <c r="H24" i="27" s="1"/>
  <c r="Q24" i="27" s="1"/>
  <c r="K102" i="14"/>
  <c r="H102" i="14"/>
  <c r="I102" i="14" s="1"/>
  <c r="H29" i="16"/>
  <c r="I29" i="16" s="1"/>
  <c r="H29" i="14"/>
  <c r="I29" i="14" s="1"/>
  <c r="H89" i="11"/>
  <c r="I89" i="11" s="1"/>
  <c r="H88" i="14"/>
  <c r="I88" i="14" s="1"/>
  <c r="H88" i="11"/>
  <c r="I88" i="11" s="1"/>
  <c r="K88" i="11"/>
  <c r="H100" i="11"/>
  <c r="I100" i="11" s="1"/>
  <c r="K100" i="11"/>
  <c r="H30" i="17"/>
  <c r="I30" i="17" s="1"/>
  <c r="G4" i="23" l="1"/>
  <c r="G4" i="20"/>
  <c r="H8" i="20" s="1"/>
  <c r="G4" i="22"/>
  <c r="G5" i="22" s="1"/>
  <c r="G8" i="22" s="1"/>
  <c r="G3" i="21"/>
  <c r="J87" i="27"/>
  <c r="J69" i="27"/>
  <c r="J78" i="27"/>
  <c r="H87" i="27"/>
  <c r="Q87" i="27" s="1"/>
  <c r="H78" i="27"/>
  <c r="Q78" i="27" s="1"/>
  <c r="J60" i="27"/>
  <c r="H69" i="27"/>
  <c r="Q69" i="27" s="1"/>
  <c r="J51" i="27"/>
  <c r="J42" i="27"/>
  <c r="J33" i="27"/>
  <c r="H33" i="27"/>
  <c r="Q33" i="27" s="1"/>
  <c r="J24" i="27"/>
  <c r="J68" i="27"/>
  <c r="H68" i="27"/>
  <c r="Q68" i="27" s="1"/>
  <c r="U34" i="1" s="1"/>
  <c r="V34" i="1" s="1"/>
  <c r="H41" i="27"/>
  <c r="Q41" i="27" s="1"/>
  <c r="J14" i="27"/>
  <c r="H14" i="27"/>
  <c r="Q14" i="27" s="1"/>
  <c r="J15" i="27"/>
  <c r="J6" i="27"/>
  <c r="H15" i="27"/>
  <c r="Q15" i="27" s="1"/>
  <c r="H6" i="27"/>
  <c r="Q6" i="27" s="1"/>
  <c r="B59" i="20"/>
  <c r="D59" i="22" s="1"/>
  <c r="B50" i="20"/>
  <c r="D50" i="22" s="1"/>
  <c r="B41" i="20"/>
  <c r="D41" i="22" s="1"/>
  <c r="J50" i="27"/>
  <c r="J86" i="27"/>
  <c r="J59" i="27"/>
  <c r="U30" i="1"/>
  <c r="V30" i="1" s="1"/>
  <c r="J5" i="27"/>
  <c r="U14" i="1"/>
  <c r="V14" i="1" s="1"/>
  <c r="J32" i="27"/>
  <c r="U42" i="1"/>
  <c r="V42" i="1" s="1"/>
  <c r="U18" i="1"/>
  <c r="V18" i="1" s="1"/>
  <c r="J77" i="27"/>
  <c r="U26" i="1"/>
  <c r="V26" i="1" s="1"/>
  <c r="J23" i="27"/>
  <c r="U38" i="1"/>
  <c r="V38" i="1" s="1"/>
  <c r="E7" i="21" l="1"/>
  <c r="I4" i="21"/>
  <c r="M3" i="3"/>
  <c r="M3" i="4"/>
  <c r="M3" i="8"/>
  <c r="M3" i="6"/>
  <c r="M3" i="7"/>
  <c r="M3" i="5"/>
  <c r="L3" i="15"/>
  <c r="G6" i="23"/>
  <c r="G5" i="23"/>
  <c r="M39" i="27"/>
  <c r="N39" i="27" s="1"/>
  <c r="K39" i="27" s="1"/>
  <c r="O19" i="1" s="1"/>
  <c r="M84" i="27"/>
  <c r="N84" i="27" s="1"/>
  <c r="K84" i="27" s="1"/>
  <c r="O39" i="1" s="1"/>
  <c r="M75" i="27"/>
  <c r="N75" i="27" s="1"/>
  <c r="K75" i="27" s="1"/>
  <c r="O35" i="1" s="1"/>
  <c r="M66" i="27"/>
  <c r="N66" i="27" s="1"/>
  <c r="K66" i="27" s="1"/>
  <c r="O31" i="1" s="1"/>
  <c r="M57" i="27"/>
  <c r="N57" i="27" s="1"/>
  <c r="K57" i="27" s="1"/>
  <c r="O27" i="1" s="1"/>
  <c r="M48" i="27"/>
  <c r="N48" i="27" s="1"/>
  <c r="K48" i="27" s="1"/>
  <c r="O23" i="1" s="1"/>
  <c r="M30" i="27"/>
  <c r="N30" i="27" s="1"/>
  <c r="K30" i="27" s="1"/>
  <c r="O15" i="1" s="1"/>
  <c r="M21" i="27"/>
  <c r="N21" i="27" s="1"/>
  <c r="K21" i="27" s="1"/>
  <c r="O11" i="1" s="1"/>
  <c r="M12" i="27"/>
  <c r="N12" i="27" s="1"/>
  <c r="K12" i="27" s="1"/>
  <c r="O7" i="1" s="1"/>
  <c r="M3" i="27"/>
  <c r="U22" i="1"/>
  <c r="V22" i="1" s="1"/>
  <c r="U10" i="1"/>
  <c r="V10" i="1" s="1"/>
  <c r="K85" i="20"/>
  <c r="K86" i="20"/>
  <c r="K87" i="20"/>
  <c r="K84" i="20"/>
  <c r="K77" i="20"/>
  <c r="K78" i="20"/>
  <c r="K75" i="20"/>
  <c r="K76" i="20"/>
  <c r="K68" i="20"/>
  <c r="K66" i="20"/>
  <c r="K67" i="20"/>
  <c r="K69" i="20"/>
  <c r="K59" i="20"/>
  <c r="K58" i="20"/>
  <c r="K57" i="20"/>
  <c r="K60" i="20"/>
  <c r="K48" i="20"/>
  <c r="K51" i="20"/>
  <c r="K50" i="20"/>
  <c r="K49" i="20"/>
  <c r="K40" i="20"/>
  <c r="K42" i="20"/>
  <c r="K41" i="20"/>
  <c r="K39" i="20"/>
  <c r="F102" i="15" l="1"/>
  <c r="H102" i="15" s="1"/>
  <c r="I102" i="15" s="1"/>
  <c r="F54" i="15"/>
  <c r="H54" i="15" s="1"/>
  <c r="I54" i="15" s="1"/>
  <c r="F15" i="15"/>
  <c r="H15" i="15" s="1"/>
  <c r="I15" i="15" s="1"/>
  <c r="F100" i="15"/>
  <c r="H100" i="15" s="1"/>
  <c r="I100" i="15" s="1"/>
  <c r="F53" i="15"/>
  <c r="H53" i="15" s="1"/>
  <c r="I53" i="15" s="1"/>
  <c r="F5" i="15"/>
  <c r="H5" i="15" s="1"/>
  <c r="I5" i="15" s="1"/>
  <c r="F99" i="15"/>
  <c r="H99" i="15" s="1"/>
  <c r="I99" i="15" s="1"/>
  <c r="F3" i="15"/>
  <c r="H3" i="15" s="1"/>
  <c r="I3" i="15" s="1"/>
  <c r="F90" i="15"/>
  <c r="H90" i="15" s="1"/>
  <c r="I90" i="15" s="1"/>
  <c r="F101" i="15"/>
  <c r="H101" i="15" s="1"/>
  <c r="I101" i="15" s="1"/>
  <c r="F51" i="15"/>
  <c r="H51" i="15" s="1"/>
  <c r="I51" i="15" s="1"/>
  <c r="F4" i="15"/>
  <c r="H4" i="15" s="1"/>
  <c r="I4" i="15" s="1"/>
  <c r="F52" i="15"/>
  <c r="H52" i="15" s="1"/>
  <c r="I52" i="15" s="1"/>
  <c r="M6" i="15"/>
  <c r="F42" i="15"/>
  <c r="H42" i="15" s="1"/>
  <c r="I42" i="15" s="1"/>
  <c r="F88" i="15"/>
  <c r="H88" i="15" s="1"/>
  <c r="I88" i="15" s="1"/>
  <c r="F27" i="15"/>
  <c r="H27" i="15" s="1"/>
  <c r="I27" i="15" s="1"/>
  <c r="F78" i="15"/>
  <c r="H78" i="15" s="1"/>
  <c r="I78" i="15" s="1"/>
  <c r="F17" i="15"/>
  <c r="H17" i="15" s="1"/>
  <c r="I17" i="15" s="1"/>
  <c r="M18" i="15"/>
  <c r="F16" i="15"/>
  <c r="H16" i="15" s="1"/>
  <c r="I16" i="15" s="1"/>
  <c r="M17" i="15"/>
  <c r="F75" i="15"/>
  <c r="H75" i="15" s="1"/>
  <c r="I75" i="15" s="1"/>
  <c r="F87" i="15"/>
  <c r="H87" i="15" s="1"/>
  <c r="I87" i="15" s="1"/>
  <c r="F6" i="15"/>
  <c r="H6" i="15" s="1"/>
  <c r="I6" i="15" s="1"/>
  <c r="F18" i="15"/>
  <c r="H18" i="15" s="1"/>
  <c r="I18" i="15" s="1"/>
  <c r="F77" i="15"/>
  <c r="H77" i="15" s="1"/>
  <c r="I77" i="15" s="1"/>
  <c r="F76" i="15"/>
  <c r="H76" i="15" s="1"/>
  <c r="I76" i="15" s="1"/>
  <c r="M16" i="15"/>
  <c r="F66" i="15"/>
  <c r="H66" i="15" s="1"/>
  <c r="I66" i="15" s="1"/>
  <c r="M15" i="15"/>
  <c r="F65" i="15"/>
  <c r="H65" i="15" s="1"/>
  <c r="I65" i="15" s="1"/>
  <c r="F39" i="15"/>
  <c r="H39" i="15" s="1"/>
  <c r="I39" i="15" s="1"/>
  <c r="M3" i="15"/>
  <c r="F114" i="15"/>
  <c r="H114" i="15" s="1"/>
  <c r="I114" i="15" s="1"/>
  <c r="F111" i="15"/>
  <c r="H111" i="15" s="1"/>
  <c r="I111" i="15" s="1"/>
  <c r="F89" i="15"/>
  <c r="H89" i="15" s="1"/>
  <c r="I89" i="15" s="1"/>
  <c r="F40" i="15"/>
  <c r="H40" i="15" s="1"/>
  <c r="I40" i="15" s="1"/>
  <c r="F30" i="15"/>
  <c r="H30" i="15" s="1"/>
  <c r="I30" i="15" s="1"/>
  <c r="F29" i="15"/>
  <c r="H29" i="15" s="1"/>
  <c r="I29" i="15" s="1"/>
  <c r="F28" i="15"/>
  <c r="H28" i="15" s="1"/>
  <c r="I28" i="15" s="1"/>
  <c r="M4" i="15"/>
  <c r="M5" i="15"/>
  <c r="F113" i="15"/>
  <c r="H113" i="15" s="1"/>
  <c r="I113" i="15" s="1"/>
  <c r="F112" i="15"/>
  <c r="H112" i="15" s="1"/>
  <c r="I112" i="15" s="1"/>
  <c r="F63" i="15"/>
  <c r="H63" i="15" s="1"/>
  <c r="I63" i="15" s="1"/>
  <c r="F64" i="15"/>
  <c r="H64" i="15" s="1"/>
  <c r="I64" i="15" s="1"/>
  <c r="F41" i="15"/>
  <c r="H41" i="15" s="1"/>
  <c r="I41" i="15" s="1"/>
  <c r="N53" i="7"/>
  <c r="N100" i="7"/>
  <c r="N64" i="7"/>
  <c r="F18" i="7"/>
  <c r="H18" i="7" s="1"/>
  <c r="I18" i="7" s="1"/>
  <c r="F75" i="7"/>
  <c r="H75" i="7" s="1"/>
  <c r="I75" i="7" s="1"/>
  <c r="N102" i="7"/>
  <c r="N63" i="7"/>
  <c r="F102" i="7"/>
  <c r="H102" i="7" s="1"/>
  <c r="I102" i="7" s="1"/>
  <c r="N90" i="7"/>
  <c r="F101" i="7"/>
  <c r="H101" i="7" s="1"/>
  <c r="I101" i="7" s="1"/>
  <c r="N29" i="7"/>
  <c r="F90" i="7"/>
  <c r="H90" i="7" s="1"/>
  <c r="I90" i="7" s="1"/>
  <c r="F41" i="7"/>
  <c r="H41" i="7" s="1"/>
  <c r="I41" i="7" s="1"/>
  <c r="N111" i="7"/>
  <c r="N40" i="7"/>
  <c r="N4" i="7"/>
  <c r="F17" i="7"/>
  <c r="H17" i="7" s="1"/>
  <c r="I17" i="7" s="1"/>
  <c r="F15" i="7"/>
  <c r="H15" i="7" s="1"/>
  <c r="I15" i="7" s="1"/>
  <c r="N99" i="7"/>
  <c r="F88" i="7"/>
  <c r="H88" i="7" s="1"/>
  <c r="I88" i="7" s="1"/>
  <c r="N39" i="7"/>
  <c r="N3" i="7"/>
  <c r="F28" i="7"/>
  <c r="H28" i="7" s="1"/>
  <c r="I28" i="7" s="1"/>
  <c r="N89" i="7"/>
  <c r="F114" i="7"/>
  <c r="H114" i="7" s="1"/>
  <c r="I114" i="7" s="1"/>
  <c r="N41" i="7"/>
  <c r="F66" i="7"/>
  <c r="H66" i="7" s="1"/>
  <c r="I66" i="7" s="1"/>
  <c r="F65" i="7"/>
  <c r="H65" i="7" s="1"/>
  <c r="I65" i="7" s="1"/>
  <c r="N114" i="7"/>
  <c r="N6" i="7"/>
  <c r="F29" i="7"/>
  <c r="H29" i="7" s="1"/>
  <c r="I29" i="7" s="1"/>
  <c r="N88" i="7"/>
  <c r="F113" i="7"/>
  <c r="H113" i="7" s="1"/>
  <c r="I113" i="7" s="1"/>
  <c r="F52" i="7"/>
  <c r="H52" i="7" s="1"/>
  <c r="I52" i="7" s="1"/>
  <c r="N113" i="7"/>
  <c r="N87" i="7"/>
  <c r="F4" i="7"/>
  <c r="H4" i="7" s="1"/>
  <c r="I4" i="7" s="1"/>
  <c r="F3" i="7"/>
  <c r="H3" i="7" s="1"/>
  <c r="I3" i="7" s="1"/>
  <c r="F27" i="7"/>
  <c r="H27" i="7" s="1"/>
  <c r="I27" i="7" s="1"/>
  <c r="N15" i="7"/>
  <c r="F89" i="7"/>
  <c r="H89" i="7" s="1"/>
  <c r="I89" i="7" s="1"/>
  <c r="F5" i="7"/>
  <c r="H5" i="7" s="1"/>
  <c r="I5" i="7" s="1"/>
  <c r="F63" i="7"/>
  <c r="H63" i="7" s="1"/>
  <c r="I63" i="7" s="1"/>
  <c r="N54" i="7"/>
  <c r="F6" i="7"/>
  <c r="H6" i="7" s="1"/>
  <c r="I6" i="7" s="1"/>
  <c r="N76" i="7"/>
  <c r="N28" i="7"/>
  <c r="F64" i="7"/>
  <c r="H64" i="7" s="1"/>
  <c r="I64" i="7" s="1"/>
  <c r="F39" i="7"/>
  <c r="H39" i="7" s="1"/>
  <c r="I39" i="7" s="1"/>
  <c r="N77" i="7"/>
  <c r="N27" i="7"/>
  <c r="F87" i="7"/>
  <c r="H87" i="7" s="1"/>
  <c r="I87" i="7" s="1"/>
  <c r="N16" i="7"/>
  <c r="N78" i="7"/>
  <c r="F111" i="7"/>
  <c r="H111" i="7" s="1"/>
  <c r="I111" i="7" s="1"/>
  <c r="F40" i="7"/>
  <c r="H40" i="7" s="1"/>
  <c r="I40" i="7" s="1"/>
  <c r="F16" i="7"/>
  <c r="H16" i="7" s="1"/>
  <c r="I16" i="7" s="1"/>
  <c r="N112" i="7"/>
  <c r="F30" i="7"/>
  <c r="H30" i="7" s="1"/>
  <c r="I30" i="7" s="1"/>
  <c r="N52" i="7"/>
  <c r="F53" i="7"/>
  <c r="H53" i="7" s="1"/>
  <c r="I53" i="7" s="1"/>
  <c r="N51" i="7"/>
  <c r="F78" i="7"/>
  <c r="H78" i="7" s="1"/>
  <c r="I78" i="7" s="1"/>
  <c r="N42" i="7"/>
  <c r="F42" i="7"/>
  <c r="H42" i="7" s="1"/>
  <c r="I42" i="7" s="1"/>
  <c r="N30" i="7"/>
  <c r="F100" i="7"/>
  <c r="H100" i="7" s="1"/>
  <c r="I100" i="7" s="1"/>
  <c r="N5" i="7"/>
  <c r="F77" i="7"/>
  <c r="H77" i="7" s="1"/>
  <c r="I77" i="7" s="1"/>
  <c r="F76" i="7"/>
  <c r="H76" i="7" s="1"/>
  <c r="I76" i="7" s="1"/>
  <c r="N75" i="7"/>
  <c r="N66" i="7"/>
  <c r="N101" i="7"/>
  <c r="F99" i="7"/>
  <c r="H99" i="7" s="1"/>
  <c r="I99" i="7" s="1"/>
  <c r="N18" i="7"/>
  <c r="F54" i="7"/>
  <c r="H54" i="7" s="1"/>
  <c r="I54" i="7" s="1"/>
  <c r="N17" i="7"/>
  <c r="F112" i="7"/>
  <c r="H112" i="7" s="1"/>
  <c r="I112" i="7" s="1"/>
  <c r="N65" i="7"/>
  <c r="F51" i="7"/>
  <c r="H51" i="7" s="1"/>
  <c r="I51" i="7" s="1"/>
  <c r="N113" i="6"/>
  <c r="N89" i="6"/>
  <c r="F88" i="6"/>
  <c r="H88" i="6" s="1"/>
  <c r="I88" i="6" s="1"/>
  <c r="F17" i="6"/>
  <c r="H17" i="6" s="1"/>
  <c r="I17" i="6" s="1"/>
  <c r="F4" i="6"/>
  <c r="H4" i="6" s="1"/>
  <c r="I4" i="6" s="1"/>
  <c r="N41" i="6"/>
  <c r="F102" i="6"/>
  <c r="H102" i="6" s="1"/>
  <c r="I102" i="6" s="1"/>
  <c r="N28" i="6"/>
  <c r="F101" i="6"/>
  <c r="H101" i="6" s="1"/>
  <c r="I101" i="6" s="1"/>
  <c r="N17" i="6"/>
  <c r="F42" i="6"/>
  <c r="H42" i="6" s="1"/>
  <c r="I42" i="6" s="1"/>
  <c r="N53" i="6"/>
  <c r="N88" i="6"/>
  <c r="F28" i="6"/>
  <c r="H28" i="6" s="1"/>
  <c r="I28" i="6" s="1"/>
  <c r="F16" i="6"/>
  <c r="H16" i="6" s="1"/>
  <c r="I16" i="6" s="1"/>
  <c r="F63" i="6"/>
  <c r="H63" i="6" s="1"/>
  <c r="I63" i="6" s="1"/>
  <c r="N18" i="6"/>
  <c r="F76" i="6"/>
  <c r="H76" i="6" s="1"/>
  <c r="I76" i="6" s="1"/>
  <c r="F3" i="6"/>
  <c r="H3" i="6" s="1"/>
  <c r="I3" i="6" s="1"/>
  <c r="N15" i="6"/>
  <c r="F75" i="6"/>
  <c r="H75" i="6" s="1"/>
  <c r="I75" i="6" s="1"/>
  <c r="F40" i="6"/>
  <c r="H40" i="6" s="1"/>
  <c r="I40" i="6" s="1"/>
  <c r="N114" i="6"/>
  <c r="N65" i="6"/>
  <c r="F100" i="6"/>
  <c r="H100" i="6" s="1"/>
  <c r="I100" i="6" s="1"/>
  <c r="N29" i="6"/>
  <c r="N90" i="6"/>
  <c r="F54" i="6"/>
  <c r="H54" i="6" s="1"/>
  <c r="I54" i="6" s="1"/>
  <c r="F64" i="6"/>
  <c r="H64" i="6" s="1"/>
  <c r="I64" i="6" s="1"/>
  <c r="N5" i="6"/>
  <c r="F53" i="6"/>
  <c r="H53" i="6" s="1"/>
  <c r="I53" i="6" s="1"/>
  <c r="N64" i="6"/>
  <c r="F112" i="6"/>
  <c r="H112" i="6" s="1"/>
  <c r="I112" i="6" s="1"/>
  <c r="N76" i="6"/>
  <c r="F52" i="6"/>
  <c r="H52" i="6" s="1"/>
  <c r="I52" i="6" s="1"/>
  <c r="N75" i="6"/>
  <c r="N66" i="6"/>
  <c r="N112" i="6"/>
  <c r="N87" i="6"/>
  <c r="N30" i="6"/>
  <c r="F113" i="6"/>
  <c r="H113" i="6" s="1"/>
  <c r="I113" i="6" s="1"/>
  <c r="N78" i="6"/>
  <c r="N77" i="6"/>
  <c r="N4" i="6"/>
  <c r="N63" i="6"/>
  <c r="F77" i="6"/>
  <c r="H77" i="6" s="1"/>
  <c r="I77" i="6" s="1"/>
  <c r="N3" i="6"/>
  <c r="F66" i="6"/>
  <c r="H66" i="6" s="1"/>
  <c r="I66" i="6" s="1"/>
  <c r="N16" i="6"/>
  <c r="F90" i="6"/>
  <c r="H90" i="6" s="1"/>
  <c r="I90" i="6" s="1"/>
  <c r="F111" i="6"/>
  <c r="H111" i="6" s="1"/>
  <c r="I111" i="6" s="1"/>
  <c r="N54" i="6"/>
  <c r="F41" i="6"/>
  <c r="H41" i="6" s="1"/>
  <c r="I41" i="6" s="1"/>
  <c r="F65" i="6"/>
  <c r="H65" i="6" s="1"/>
  <c r="I65" i="6" s="1"/>
  <c r="N100" i="6"/>
  <c r="N52" i="6"/>
  <c r="F30" i="6"/>
  <c r="H30" i="6" s="1"/>
  <c r="I30" i="6" s="1"/>
  <c r="N40" i="6"/>
  <c r="F89" i="6"/>
  <c r="H89" i="6" s="1"/>
  <c r="I89" i="6" s="1"/>
  <c r="N39" i="6"/>
  <c r="F114" i="6"/>
  <c r="H114" i="6" s="1"/>
  <c r="I114" i="6" s="1"/>
  <c r="N6" i="6"/>
  <c r="F51" i="6"/>
  <c r="H51" i="6" s="1"/>
  <c r="I51" i="6" s="1"/>
  <c r="F78" i="6"/>
  <c r="H78" i="6" s="1"/>
  <c r="I78" i="6" s="1"/>
  <c r="F18" i="6"/>
  <c r="H18" i="6" s="1"/>
  <c r="I18" i="6" s="1"/>
  <c r="N42" i="6"/>
  <c r="F6" i="6"/>
  <c r="H6" i="6" s="1"/>
  <c r="I6" i="6" s="1"/>
  <c r="N101" i="6"/>
  <c r="F5" i="6"/>
  <c r="H5" i="6" s="1"/>
  <c r="I5" i="6" s="1"/>
  <c r="N111" i="6"/>
  <c r="F29" i="6"/>
  <c r="H29" i="6" s="1"/>
  <c r="I29" i="6" s="1"/>
  <c r="N51" i="6"/>
  <c r="F99" i="6"/>
  <c r="H99" i="6" s="1"/>
  <c r="I99" i="6" s="1"/>
  <c r="N102" i="6"/>
  <c r="F39" i="6"/>
  <c r="H39" i="6" s="1"/>
  <c r="I39" i="6" s="1"/>
  <c r="N27" i="6"/>
  <c r="F87" i="6"/>
  <c r="H87" i="6" s="1"/>
  <c r="I87" i="6" s="1"/>
  <c r="N99" i="6"/>
  <c r="F27" i="6"/>
  <c r="H27" i="6" s="1"/>
  <c r="I27" i="6" s="1"/>
  <c r="F15" i="6"/>
  <c r="H15" i="6" s="1"/>
  <c r="I15" i="6" s="1"/>
  <c r="N17" i="5"/>
  <c r="N66" i="5"/>
  <c r="N3" i="5"/>
  <c r="F6" i="5"/>
  <c r="H6" i="5" s="1"/>
  <c r="I6" i="5" s="1"/>
  <c r="F16" i="5"/>
  <c r="H16" i="5" s="1"/>
  <c r="I16" i="5" s="1"/>
  <c r="N112" i="5"/>
  <c r="N54" i="5"/>
  <c r="F15" i="5"/>
  <c r="H15" i="5" s="1"/>
  <c r="I15" i="5" s="1"/>
  <c r="N52" i="5"/>
  <c r="N27" i="5"/>
  <c r="F78" i="5"/>
  <c r="H78" i="5" s="1"/>
  <c r="I78" i="5" s="1"/>
  <c r="N30" i="5"/>
  <c r="F90" i="5"/>
  <c r="H90" i="5" s="1"/>
  <c r="I90" i="5" s="1"/>
  <c r="F42" i="5"/>
  <c r="H42" i="5" s="1"/>
  <c r="I42" i="5" s="1"/>
  <c r="N75" i="5"/>
  <c r="N100" i="5"/>
  <c r="N114" i="5"/>
  <c r="F87" i="5"/>
  <c r="H87" i="5" s="1"/>
  <c r="I87" i="5" s="1"/>
  <c r="F75" i="5"/>
  <c r="H75" i="5" s="1"/>
  <c r="I75" i="5" s="1"/>
  <c r="N40" i="5"/>
  <c r="F27" i="5"/>
  <c r="H27" i="5" s="1"/>
  <c r="I27" i="5" s="1"/>
  <c r="N99" i="5"/>
  <c r="F102" i="5"/>
  <c r="H102" i="5" s="1"/>
  <c r="I102" i="5" s="1"/>
  <c r="N90" i="5"/>
  <c r="F3" i="5"/>
  <c r="H3" i="5" s="1"/>
  <c r="I3" i="5" s="1"/>
  <c r="N51" i="5"/>
  <c r="N64" i="5"/>
  <c r="F52" i="5"/>
  <c r="H52" i="5" s="1"/>
  <c r="I52" i="5" s="1"/>
  <c r="N63" i="5"/>
  <c r="F77" i="5"/>
  <c r="H77" i="5" s="1"/>
  <c r="I77" i="5" s="1"/>
  <c r="F99" i="5"/>
  <c r="H99" i="5" s="1"/>
  <c r="I99" i="5" s="1"/>
  <c r="N42" i="5"/>
  <c r="F66" i="5"/>
  <c r="H66" i="5" s="1"/>
  <c r="I66" i="5" s="1"/>
  <c r="N101" i="5"/>
  <c r="F89" i="5"/>
  <c r="H89" i="5" s="1"/>
  <c r="I89" i="5" s="1"/>
  <c r="N29" i="5"/>
  <c r="F29" i="5"/>
  <c r="H29" i="5" s="1"/>
  <c r="I29" i="5" s="1"/>
  <c r="N16" i="5"/>
  <c r="F101" i="5"/>
  <c r="H101" i="5" s="1"/>
  <c r="I101" i="5" s="1"/>
  <c r="N41" i="5"/>
  <c r="N4" i="5"/>
  <c r="F30" i="5"/>
  <c r="H30" i="5" s="1"/>
  <c r="I30" i="5" s="1"/>
  <c r="F18" i="5"/>
  <c r="H18" i="5" s="1"/>
  <c r="I18" i="5" s="1"/>
  <c r="N6" i="5"/>
  <c r="F112" i="5"/>
  <c r="H112" i="5" s="1"/>
  <c r="I112" i="5" s="1"/>
  <c r="N102" i="5"/>
  <c r="F111" i="5"/>
  <c r="H111" i="5" s="1"/>
  <c r="I111" i="5" s="1"/>
  <c r="F17" i="5"/>
  <c r="H17" i="5" s="1"/>
  <c r="I17" i="5" s="1"/>
  <c r="F63" i="5"/>
  <c r="H63" i="5" s="1"/>
  <c r="I63" i="5" s="1"/>
  <c r="F76" i="5"/>
  <c r="H76" i="5" s="1"/>
  <c r="I76" i="5" s="1"/>
  <c r="F100" i="5"/>
  <c r="H100" i="5" s="1"/>
  <c r="I100" i="5" s="1"/>
  <c r="N28" i="5"/>
  <c r="F64" i="5"/>
  <c r="H64" i="5" s="1"/>
  <c r="I64" i="5" s="1"/>
  <c r="N18" i="5"/>
  <c r="F4" i="5"/>
  <c r="H4" i="5" s="1"/>
  <c r="I4" i="5" s="1"/>
  <c r="N15" i="5"/>
  <c r="N87" i="5"/>
  <c r="F28" i="5"/>
  <c r="H28" i="5" s="1"/>
  <c r="I28" i="5" s="1"/>
  <c r="N78" i="5"/>
  <c r="N77" i="5"/>
  <c r="F114" i="5"/>
  <c r="H114" i="5" s="1"/>
  <c r="I114" i="5" s="1"/>
  <c r="N76" i="5"/>
  <c r="F54" i="5"/>
  <c r="H54" i="5" s="1"/>
  <c r="I54" i="5" s="1"/>
  <c r="N65" i="5"/>
  <c r="F113" i="5"/>
  <c r="H113" i="5" s="1"/>
  <c r="I113" i="5" s="1"/>
  <c r="N113" i="5"/>
  <c r="N53" i="5"/>
  <c r="F5" i="5"/>
  <c r="H5" i="5" s="1"/>
  <c r="I5" i="5" s="1"/>
  <c r="N111" i="5"/>
  <c r="N89" i="5"/>
  <c r="F39" i="5"/>
  <c r="H39" i="5" s="1"/>
  <c r="I39" i="5" s="1"/>
  <c r="N88" i="5"/>
  <c r="F88" i="5"/>
  <c r="H88" i="5" s="1"/>
  <c r="I88" i="5" s="1"/>
  <c r="F51" i="5"/>
  <c r="H51" i="5" s="1"/>
  <c r="I51" i="5" s="1"/>
  <c r="N5" i="5"/>
  <c r="F53" i="5"/>
  <c r="H53" i="5" s="1"/>
  <c r="I53" i="5" s="1"/>
  <c r="F41" i="5"/>
  <c r="H41" i="5" s="1"/>
  <c r="I41" i="5" s="1"/>
  <c r="F40" i="5"/>
  <c r="H40" i="5" s="1"/>
  <c r="I40" i="5" s="1"/>
  <c r="F65" i="5"/>
  <c r="H65" i="5" s="1"/>
  <c r="I65" i="5" s="1"/>
  <c r="N39" i="5"/>
  <c r="N102" i="8"/>
  <c r="N28" i="8"/>
  <c r="F40" i="8"/>
  <c r="H40" i="8" s="1"/>
  <c r="I40" i="8" s="1"/>
  <c r="F53" i="8"/>
  <c r="H53" i="8" s="1"/>
  <c r="I53" i="8" s="1"/>
  <c r="F111" i="8"/>
  <c r="H111" i="8" s="1"/>
  <c r="I111" i="8" s="1"/>
  <c r="N41" i="8"/>
  <c r="N78" i="8"/>
  <c r="F77" i="8"/>
  <c r="H77" i="8" s="1"/>
  <c r="I77" i="8" s="1"/>
  <c r="N40" i="8"/>
  <c r="F65" i="8"/>
  <c r="H65" i="8" s="1"/>
  <c r="I65" i="8" s="1"/>
  <c r="N114" i="8"/>
  <c r="N77" i="8"/>
  <c r="F87" i="8"/>
  <c r="H87" i="8" s="1"/>
  <c r="I87" i="8" s="1"/>
  <c r="N42" i="8"/>
  <c r="N27" i="8"/>
  <c r="F66" i="8"/>
  <c r="H66" i="8" s="1"/>
  <c r="I66" i="8" s="1"/>
  <c r="F18" i="8"/>
  <c r="H18" i="8" s="1"/>
  <c r="I18" i="8" s="1"/>
  <c r="F78" i="8"/>
  <c r="H78" i="8" s="1"/>
  <c r="I78" i="8" s="1"/>
  <c r="F4" i="8"/>
  <c r="H4" i="8" s="1"/>
  <c r="I4" i="8" s="1"/>
  <c r="F39" i="8"/>
  <c r="H39" i="8" s="1"/>
  <c r="I39" i="8" s="1"/>
  <c r="N18" i="8"/>
  <c r="F89" i="8"/>
  <c r="H89" i="8" s="1"/>
  <c r="I89" i="8" s="1"/>
  <c r="F63" i="8"/>
  <c r="H63" i="8" s="1"/>
  <c r="I63" i="8" s="1"/>
  <c r="N99" i="8"/>
  <c r="F29" i="8"/>
  <c r="H29" i="8" s="1"/>
  <c r="I29" i="8" s="1"/>
  <c r="N39" i="8"/>
  <c r="N4" i="8"/>
  <c r="F90" i="8"/>
  <c r="H90" i="8" s="1"/>
  <c r="I90" i="8" s="1"/>
  <c r="F114" i="8"/>
  <c r="H114" i="8" s="1"/>
  <c r="I114" i="8" s="1"/>
  <c r="N30" i="8"/>
  <c r="F17" i="8"/>
  <c r="H17" i="8" s="1"/>
  <c r="I17" i="8" s="1"/>
  <c r="N89" i="8"/>
  <c r="F75" i="8"/>
  <c r="H75" i="8" s="1"/>
  <c r="I75" i="8" s="1"/>
  <c r="N29" i="8"/>
  <c r="F76" i="8"/>
  <c r="H76" i="8" s="1"/>
  <c r="I76" i="8" s="1"/>
  <c r="N87" i="8"/>
  <c r="F41" i="8"/>
  <c r="H41" i="8" s="1"/>
  <c r="I41" i="8" s="1"/>
  <c r="N112" i="8"/>
  <c r="F64" i="8"/>
  <c r="H64" i="8" s="1"/>
  <c r="I64" i="8" s="1"/>
  <c r="N76" i="8"/>
  <c r="F42" i="8"/>
  <c r="H42" i="8" s="1"/>
  <c r="I42" i="8" s="1"/>
  <c r="N90" i="8"/>
  <c r="N3" i="8"/>
  <c r="F30" i="8"/>
  <c r="H30" i="8" s="1"/>
  <c r="I30" i="8" s="1"/>
  <c r="F54" i="8"/>
  <c r="H54" i="8" s="1"/>
  <c r="I54" i="8" s="1"/>
  <c r="F113" i="8"/>
  <c r="H113" i="8" s="1"/>
  <c r="I113" i="8" s="1"/>
  <c r="F51" i="8"/>
  <c r="H51" i="8" s="1"/>
  <c r="I51" i="8" s="1"/>
  <c r="F15" i="8"/>
  <c r="H15" i="8" s="1"/>
  <c r="I15" i="8" s="1"/>
  <c r="N54" i="8"/>
  <c r="F16" i="8"/>
  <c r="H16" i="8" s="1"/>
  <c r="I16" i="8" s="1"/>
  <c r="N17" i="8"/>
  <c r="F102" i="8"/>
  <c r="H102" i="8" s="1"/>
  <c r="I102" i="8" s="1"/>
  <c r="N15" i="8"/>
  <c r="F3" i="8"/>
  <c r="H3" i="8" s="1"/>
  <c r="I3" i="8" s="1"/>
  <c r="N65" i="8"/>
  <c r="F5" i="8"/>
  <c r="H5" i="8" s="1"/>
  <c r="I5" i="8" s="1"/>
  <c r="N63" i="8"/>
  <c r="F28" i="8"/>
  <c r="H28" i="8" s="1"/>
  <c r="I28" i="8" s="1"/>
  <c r="N64" i="8"/>
  <c r="N113" i="8"/>
  <c r="N53" i="8"/>
  <c r="N111" i="8"/>
  <c r="N51" i="8"/>
  <c r="N75" i="8"/>
  <c r="F101" i="8"/>
  <c r="H101" i="8" s="1"/>
  <c r="I101" i="8" s="1"/>
  <c r="N66" i="8"/>
  <c r="F100" i="8"/>
  <c r="H100" i="8" s="1"/>
  <c r="I100" i="8" s="1"/>
  <c r="N88" i="8"/>
  <c r="F99" i="8"/>
  <c r="H99" i="8" s="1"/>
  <c r="I99" i="8" s="1"/>
  <c r="N5" i="8"/>
  <c r="F88" i="8"/>
  <c r="H88" i="8" s="1"/>
  <c r="I88" i="8" s="1"/>
  <c r="F27" i="8"/>
  <c r="H27" i="8" s="1"/>
  <c r="I27" i="8" s="1"/>
  <c r="F112" i="8"/>
  <c r="H112" i="8" s="1"/>
  <c r="I112" i="8" s="1"/>
  <c r="F52" i="8"/>
  <c r="H52" i="8" s="1"/>
  <c r="I52" i="8" s="1"/>
  <c r="N52" i="8"/>
  <c r="N6" i="8"/>
  <c r="N101" i="8"/>
  <c r="N100" i="8"/>
  <c r="N16" i="8"/>
  <c r="F6" i="8"/>
  <c r="H6" i="8" s="1"/>
  <c r="I6" i="8" s="1"/>
  <c r="N3" i="4"/>
  <c r="N77" i="4"/>
  <c r="F87" i="4"/>
  <c r="F52" i="4"/>
  <c r="H52" i="4" s="1"/>
  <c r="I52" i="4" s="1"/>
  <c r="F64" i="4"/>
  <c r="H64" i="4" s="1"/>
  <c r="I64" i="4" s="1"/>
  <c r="N78" i="4"/>
  <c r="F114" i="4"/>
  <c r="H114" i="4" s="1"/>
  <c r="I114" i="4" s="1"/>
  <c r="F63" i="4"/>
  <c r="N18" i="4"/>
  <c r="F77" i="4"/>
  <c r="H77" i="4" s="1"/>
  <c r="I77" i="4" s="1"/>
  <c r="F3" i="4"/>
  <c r="H3" i="4" s="1"/>
  <c r="I3" i="4" s="1"/>
  <c r="N114" i="4"/>
  <c r="N75" i="4"/>
  <c r="F101" i="4"/>
  <c r="H101" i="4" s="1"/>
  <c r="I101" i="4" s="1"/>
  <c r="N112" i="4"/>
  <c r="N76" i="4"/>
  <c r="F27" i="4"/>
  <c r="F111" i="4"/>
  <c r="F4" i="4"/>
  <c r="H4" i="4" s="1"/>
  <c r="I4" i="4" s="1"/>
  <c r="N52" i="4"/>
  <c r="F51" i="4"/>
  <c r="N99" i="4"/>
  <c r="F78" i="4"/>
  <c r="H78" i="4" s="1"/>
  <c r="I78" i="4" s="1"/>
  <c r="N39" i="4"/>
  <c r="F18" i="4"/>
  <c r="N17" i="4"/>
  <c r="F88" i="4"/>
  <c r="H88" i="4" s="1"/>
  <c r="I88" i="4" s="1"/>
  <c r="F76" i="4"/>
  <c r="H76" i="4" s="1"/>
  <c r="I76" i="4" s="1"/>
  <c r="F28" i="4"/>
  <c r="H28" i="4" s="1"/>
  <c r="I28" i="4" s="1"/>
  <c r="F75" i="4"/>
  <c r="N54" i="4"/>
  <c r="F102" i="4"/>
  <c r="H102" i="4" s="1"/>
  <c r="I102" i="4" s="1"/>
  <c r="N89" i="4"/>
  <c r="F89" i="4"/>
  <c r="H89" i="4" s="1"/>
  <c r="I89" i="4" s="1"/>
  <c r="N88" i="4"/>
  <c r="F29" i="4"/>
  <c r="H29" i="4" s="1"/>
  <c r="I29" i="4" s="1"/>
  <c r="N16" i="4"/>
  <c r="F16" i="4"/>
  <c r="H16" i="4" s="1"/>
  <c r="I16" i="4" s="1"/>
  <c r="N63" i="4"/>
  <c r="F100" i="4"/>
  <c r="H100" i="4" s="1"/>
  <c r="I100" i="4" s="1"/>
  <c r="N90" i="4"/>
  <c r="F99" i="4"/>
  <c r="F15" i="4"/>
  <c r="H15" i="4" s="1"/>
  <c r="I15" i="4" s="1"/>
  <c r="N51" i="4"/>
  <c r="N30" i="4"/>
  <c r="F66" i="4"/>
  <c r="H66" i="4" s="1"/>
  <c r="I66" i="4" s="1"/>
  <c r="N42" i="4"/>
  <c r="F42" i="4"/>
  <c r="H42" i="4" s="1"/>
  <c r="I42" i="4" s="1"/>
  <c r="N41" i="4"/>
  <c r="F65" i="4"/>
  <c r="H65" i="4" s="1"/>
  <c r="I65" i="4" s="1"/>
  <c r="N100" i="4"/>
  <c r="N28" i="4"/>
  <c r="N101" i="4"/>
  <c r="N27" i="4"/>
  <c r="F30" i="4"/>
  <c r="H30" i="4" s="1"/>
  <c r="I30" i="4" s="1"/>
  <c r="N87" i="4"/>
  <c r="F54" i="4"/>
  <c r="H54" i="4" s="1"/>
  <c r="I54" i="4" s="1"/>
  <c r="N15" i="4"/>
  <c r="F40" i="4"/>
  <c r="H40" i="4" s="1"/>
  <c r="I40" i="4" s="1"/>
  <c r="F53" i="4"/>
  <c r="H53" i="4" s="1"/>
  <c r="I53" i="4" s="1"/>
  <c r="F39" i="4"/>
  <c r="N5" i="4"/>
  <c r="F41" i="4"/>
  <c r="H41" i="4" s="1"/>
  <c r="I41" i="4" s="1"/>
  <c r="F6" i="4"/>
  <c r="F5" i="4"/>
  <c r="H5" i="4" s="1"/>
  <c r="I5" i="4" s="1"/>
  <c r="N102" i="4"/>
  <c r="N40" i="4"/>
  <c r="N29" i="4"/>
  <c r="F90" i="4"/>
  <c r="H90" i="4" s="1"/>
  <c r="I90" i="4" s="1"/>
  <c r="N66" i="4"/>
  <c r="F113" i="4"/>
  <c r="H113" i="4" s="1"/>
  <c r="I113" i="4" s="1"/>
  <c r="N6" i="4"/>
  <c r="N64" i="4"/>
  <c r="N4" i="4"/>
  <c r="F112" i="4"/>
  <c r="H112" i="4" s="1"/>
  <c r="I112" i="4" s="1"/>
  <c r="N65" i="4"/>
  <c r="F17" i="4"/>
  <c r="H17" i="4" s="1"/>
  <c r="I17" i="4" s="1"/>
  <c r="N113" i="4"/>
  <c r="N53" i="4"/>
  <c r="N111" i="4"/>
  <c r="N78" i="3"/>
  <c r="N30" i="3"/>
  <c r="F102" i="3"/>
  <c r="H102" i="3" s="1"/>
  <c r="I102" i="3" s="1"/>
  <c r="F54" i="3"/>
  <c r="H54" i="3" s="1"/>
  <c r="I54" i="3" s="1"/>
  <c r="F17" i="3"/>
  <c r="H17" i="3" s="1"/>
  <c r="I17" i="3" s="1"/>
  <c r="N28" i="3"/>
  <c r="F4" i="3"/>
  <c r="H4" i="3" s="1"/>
  <c r="I4" i="3" s="1"/>
  <c r="N27" i="3"/>
  <c r="F5" i="3"/>
  <c r="H5" i="3" s="1"/>
  <c r="I5" i="3" s="1"/>
  <c r="N114" i="3"/>
  <c r="N6" i="3"/>
  <c r="N77" i="3"/>
  <c r="N29" i="3"/>
  <c r="F101" i="3"/>
  <c r="H101" i="3" s="1"/>
  <c r="I101" i="3" s="1"/>
  <c r="F53" i="3"/>
  <c r="H53" i="3" s="1"/>
  <c r="I53" i="3" s="1"/>
  <c r="F15" i="3"/>
  <c r="H15" i="3" s="1"/>
  <c r="I15" i="3" s="1"/>
  <c r="N76" i="3"/>
  <c r="F100" i="3"/>
  <c r="H100" i="3" s="1"/>
  <c r="I100" i="3" s="1"/>
  <c r="F51" i="3"/>
  <c r="H51" i="3" s="1"/>
  <c r="I51" i="3" s="1"/>
  <c r="N75" i="3"/>
  <c r="F99" i="3"/>
  <c r="H99" i="3" s="1"/>
  <c r="I99" i="3" s="1"/>
  <c r="F52" i="3"/>
  <c r="H52" i="3" s="1"/>
  <c r="I52" i="3" s="1"/>
  <c r="N66" i="3"/>
  <c r="F90" i="3"/>
  <c r="H90" i="3" s="1"/>
  <c r="I90" i="3" s="1"/>
  <c r="F42" i="3"/>
  <c r="H42" i="3" s="1"/>
  <c r="I42" i="3" s="1"/>
  <c r="N89" i="3"/>
  <c r="N16" i="3"/>
  <c r="F66" i="3"/>
  <c r="H66" i="3" s="1"/>
  <c r="I66" i="3" s="1"/>
  <c r="N88" i="3"/>
  <c r="F65" i="3"/>
  <c r="H65" i="3" s="1"/>
  <c r="I65" i="3" s="1"/>
  <c r="N4" i="3"/>
  <c r="N65" i="3"/>
  <c r="F63" i="3"/>
  <c r="H63" i="3" s="1"/>
  <c r="I63" i="3" s="1"/>
  <c r="N3" i="3"/>
  <c r="N63" i="3"/>
  <c r="F114" i="3"/>
  <c r="H114" i="3" s="1"/>
  <c r="I114" i="3" s="1"/>
  <c r="F40" i="3"/>
  <c r="H40" i="3" s="1"/>
  <c r="I40" i="3" s="1"/>
  <c r="N54" i="3"/>
  <c r="F39" i="3"/>
  <c r="H39" i="3" s="1"/>
  <c r="I39" i="3" s="1"/>
  <c r="N15" i="3"/>
  <c r="N87" i="3"/>
  <c r="F64" i="3"/>
  <c r="H64" i="3" s="1"/>
  <c r="I64" i="3" s="1"/>
  <c r="N5" i="3"/>
  <c r="N64" i="3"/>
  <c r="F41" i="3"/>
  <c r="H41" i="3" s="1"/>
  <c r="I41" i="3" s="1"/>
  <c r="F113" i="3"/>
  <c r="H113" i="3" s="1"/>
  <c r="I113" i="3" s="1"/>
  <c r="N111" i="3"/>
  <c r="F111" i="3"/>
  <c r="H111" i="3" s="1"/>
  <c r="I111" i="3" s="1"/>
  <c r="F89" i="3"/>
  <c r="H89" i="3" s="1"/>
  <c r="I89" i="3" s="1"/>
  <c r="N101" i="3"/>
  <c r="F87" i="3"/>
  <c r="H87" i="3" s="1"/>
  <c r="I87" i="3" s="1"/>
  <c r="F78" i="3"/>
  <c r="H78" i="3" s="1"/>
  <c r="I78" i="3" s="1"/>
  <c r="N90" i="3"/>
  <c r="N53" i="3"/>
  <c r="F75" i="3"/>
  <c r="H75" i="3" s="1"/>
  <c r="I75" i="3" s="1"/>
  <c r="F3" i="3"/>
  <c r="H3" i="3" s="1"/>
  <c r="I3" i="3" s="1"/>
  <c r="N42" i="3"/>
  <c r="N41" i="3"/>
  <c r="F27" i="3"/>
  <c r="H27" i="3" s="1"/>
  <c r="I27" i="3" s="1"/>
  <c r="F29" i="3"/>
  <c r="H29" i="3" s="1"/>
  <c r="I29" i="3" s="1"/>
  <c r="F6" i="3"/>
  <c r="H6" i="3" s="1"/>
  <c r="I6" i="3" s="1"/>
  <c r="N113" i="3"/>
  <c r="N17" i="3"/>
  <c r="F18" i="3"/>
  <c r="H18" i="3" s="1"/>
  <c r="I18" i="3" s="1"/>
  <c r="F112" i="3"/>
  <c r="H112" i="3" s="1"/>
  <c r="I112" i="3" s="1"/>
  <c r="N102" i="3"/>
  <c r="F88" i="3"/>
  <c r="H88" i="3" s="1"/>
  <c r="I88" i="3" s="1"/>
  <c r="N100" i="3"/>
  <c r="N99" i="3"/>
  <c r="F77" i="3"/>
  <c r="H77" i="3" s="1"/>
  <c r="I77" i="3" s="1"/>
  <c r="F76" i="3"/>
  <c r="H76" i="3" s="1"/>
  <c r="I76" i="3" s="1"/>
  <c r="N52" i="3"/>
  <c r="N51" i="3"/>
  <c r="F30" i="3"/>
  <c r="H30" i="3" s="1"/>
  <c r="I30" i="3" s="1"/>
  <c r="F28" i="3"/>
  <c r="H28" i="3" s="1"/>
  <c r="I28" i="3" s="1"/>
  <c r="N40" i="3"/>
  <c r="N39" i="3"/>
  <c r="N18" i="3"/>
  <c r="N112" i="3"/>
  <c r="F16" i="3"/>
  <c r="H16" i="3" s="1"/>
  <c r="I16" i="3" s="1"/>
  <c r="H3" i="27"/>
  <c r="O4" i="1" s="1"/>
  <c r="U6" i="1" s="1"/>
  <c r="V6" i="1" s="1"/>
  <c r="N3" i="27"/>
  <c r="I12" i="1" a="1"/>
  <c r="I32" i="1" a="1"/>
  <c r="I20" i="1" a="1"/>
  <c r="I24" i="1" a="1"/>
  <c r="I36" i="1" a="1"/>
  <c r="I16" i="1" a="1"/>
  <c r="I4" i="1" a="1"/>
  <c r="I40" i="1" a="1"/>
  <c r="I8" i="1" a="1"/>
  <c r="I28" i="1" a="1"/>
  <c r="I28" i="1" l="1"/>
  <c r="I8" i="1"/>
  <c r="I40" i="1"/>
  <c r="I4" i="1"/>
  <c r="I16" i="1"/>
  <c r="I36" i="1"/>
  <c r="I24" i="1"/>
  <c r="I20" i="1"/>
  <c r="I32" i="1"/>
  <c r="I12" i="1"/>
  <c r="H75" i="4"/>
  <c r="I75" i="4" s="1"/>
  <c r="H18" i="4"/>
  <c r="I18" i="4" s="1"/>
  <c r="H111" i="4"/>
  <c r="I111" i="4" s="1"/>
  <c r="H6" i="4"/>
  <c r="I6" i="4" s="1"/>
  <c r="H39" i="4"/>
  <c r="I39" i="4" s="1"/>
  <c r="H99" i="4"/>
  <c r="I99" i="4" s="1"/>
  <c r="H63" i="4"/>
  <c r="I63" i="4" s="1"/>
  <c r="H51" i="4"/>
  <c r="I51" i="4" s="1"/>
  <c r="H87" i="4"/>
  <c r="I87" i="4" s="1"/>
  <c r="H27" i="4"/>
  <c r="I27" i="4" s="1"/>
  <c r="K3" i="27"/>
  <c r="O3" i="1" s="1"/>
  <c r="I3" i="27"/>
  <c r="AP25" i="1" l="1"/>
  <c r="F49" i="22"/>
  <c r="F50" i="22" s="1"/>
  <c r="B50" i="22" s="1"/>
  <c r="AP23" i="1"/>
  <c r="K23" i="1"/>
  <c r="J23" i="1"/>
  <c r="AP24" i="1"/>
  <c r="F49" i="23"/>
  <c r="AP26" i="1"/>
  <c r="F49" i="20"/>
  <c r="F23" i="20" s="1"/>
  <c r="K39" i="1"/>
  <c r="AP39" i="1"/>
  <c r="AP41" i="1"/>
  <c r="F85" i="23"/>
  <c r="F85" i="22"/>
  <c r="F86" i="22" s="1"/>
  <c r="B86" i="22" s="1"/>
  <c r="AP40" i="1"/>
  <c r="F85" i="20"/>
  <c r="F59" i="20" s="1"/>
  <c r="B32" i="20" s="1"/>
  <c r="J39" i="1"/>
  <c r="AP42" i="1"/>
  <c r="AP7" i="1"/>
  <c r="F13" i="23"/>
  <c r="K7" i="1"/>
  <c r="AP8" i="1"/>
  <c r="AP10" i="1"/>
  <c r="F13" i="20"/>
  <c r="AP9" i="1"/>
  <c r="J7" i="1"/>
  <c r="F13" i="22"/>
  <c r="F14" i="22" s="1"/>
  <c r="F22" i="20"/>
  <c r="J11" i="1"/>
  <c r="AP11" i="1"/>
  <c r="K11" i="1"/>
  <c r="AP13" i="1"/>
  <c r="F22" i="23"/>
  <c r="AP14" i="1"/>
  <c r="F22" i="22"/>
  <c r="F23" i="22" s="1"/>
  <c r="AP12" i="1"/>
  <c r="K31" i="1"/>
  <c r="AP33" i="1"/>
  <c r="F67" i="20"/>
  <c r="F41" i="20" s="1"/>
  <c r="B14" i="20" s="1"/>
  <c r="AP31" i="1"/>
  <c r="AP34" i="1"/>
  <c r="F67" i="23"/>
  <c r="F67" i="22"/>
  <c r="F68" i="22" s="1"/>
  <c r="B68" i="22" s="1"/>
  <c r="AP32" i="1"/>
  <c r="J31" i="1"/>
  <c r="F40" i="22"/>
  <c r="F41" i="22" s="1"/>
  <c r="B41" i="22" s="1"/>
  <c r="AP21" i="1"/>
  <c r="F40" i="23"/>
  <c r="F40" i="20"/>
  <c r="F14" i="20" s="1"/>
  <c r="AP19" i="1"/>
  <c r="AP22" i="1"/>
  <c r="AP20" i="1"/>
  <c r="J19" i="1"/>
  <c r="K19" i="1"/>
  <c r="AP36" i="1"/>
  <c r="AP38" i="1"/>
  <c r="J35" i="1"/>
  <c r="K35" i="1"/>
  <c r="F76" i="22"/>
  <c r="F77" i="22" s="1"/>
  <c r="B77" i="22" s="1"/>
  <c r="F76" i="23"/>
  <c r="F76" i="20"/>
  <c r="F50" i="20" s="1"/>
  <c r="B23" i="20" s="1"/>
  <c r="AP35" i="1"/>
  <c r="AP37" i="1"/>
  <c r="AP17" i="1"/>
  <c r="K15" i="1"/>
  <c r="AP15" i="1"/>
  <c r="AP16" i="1"/>
  <c r="J15" i="1"/>
  <c r="F31" i="23"/>
  <c r="AP18" i="1"/>
  <c r="F31" i="20"/>
  <c r="F5" i="20" s="1"/>
  <c r="F31" i="22"/>
  <c r="F32" i="22" s="1"/>
  <c r="AP3" i="1"/>
  <c r="AP6" i="1"/>
  <c r="AM3" i="1"/>
  <c r="F4" i="23"/>
  <c r="F4" i="22"/>
  <c r="F5" i="22" s="1"/>
  <c r="J3" i="1"/>
  <c r="K3" i="1"/>
  <c r="AM4" i="1"/>
  <c r="AP4" i="1"/>
  <c r="AP5" i="1"/>
  <c r="F4" i="20"/>
  <c r="F58" i="23"/>
  <c r="J27" i="1"/>
  <c r="K27" i="1"/>
  <c r="F58" i="22"/>
  <c r="F59" i="22" s="1"/>
  <c r="B59" i="22" s="1"/>
  <c r="AP30" i="1"/>
  <c r="AP29" i="1"/>
  <c r="AP28" i="1"/>
  <c r="F58" i="20"/>
  <c r="F32" i="20" s="1"/>
  <c r="B5" i="20" s="1"/>
  <c r="AP27" i="1"/>
  <c r="P4" i="1"/>
  <c r="L3" i="27"/>
  <c r="O5" i="1" s="1"/>
  <c r="AI3" i="1" s="1"/>
  <c r="AT3" i="1" s="1"/>
  <c r="AE3" i="1" s="1"/>
  <c r="F42" i="23" l="1"/>
  <c r="D41" i="23" s="1"/>
  <c r="F41" i="23"/>
  <c r="C41" i="23" s="1"/>
  <c r="B41" i="23" s="1"/>
  <c r="N19" i="1" s="1"/>
  <c r="K23" i="20"/>
  <c r="K24" i="20"/>
  <c r="D23" i="22"/>
  <c r="B23" i="22" s="1"/>
  <c r="K21" i="20"/>
  <c r="K22" i="20"/>
  <c r="AQ12" i="1"/>
  <c r="B27" i="23"/>
  <c r="B29" i="23"/>
  <c r="B28" i="23"/>
  <c r="B26" i="22"/>
  <c r="AQ14" i="1"/>
  <c r="B26" i="23"/>
  <c r="B27" i="22"/>
  <c r="B26" i="20"/>
  <c r="Z11" i="1"/>
  <c r="AB13" i="1" s="1"/>
  <c r="AQ11" i="1"/>
  <c r="B29" i="22"/>
  <c r="B28" i="22"/>
  <c r="AQ13" i="1"/>
  <c r="K6" i="20"/>
  <c r="D5" i="22"/>
  <c r="B5" i="22" s="1"/>
  <c r="K4" i="20"/>
  <c r="K5" i="20"/>
  <c r="K3" i="20"/>
  <c r="B83" i="23"/>
  <c r="AQ36" i="1"/>
  <c r="AQ35" i="1"/>
  <c r="B82" i="23"/>
  <c r="B82" i="22"/>
  <c r="B81" i="23"/>
  <c r="B80" i="20"/>
  <c r="B81" i="22"/>
  <c r="AQ38" i="1"/>
  <c r="AQ37" i="1"/>
  <c r="B80" i="22"/>
  <c r="B83" i="22"/>
  <c r="B80" i="23"/>
  <c r="Z35" i="1"/>
  <c r="AB37" i="1" s="1"/>
  <c r="F33" i="23"/>
  <c r="D32" i="23" s="1"/>
  <c r="F32" i="23"/>
  <c r="C32" i="23" s="1"/>
  <c r="B32" i="23" s="1"/>
  <c r="N15" i="1" s="1"/>
  <c r="H35" i="23" s="1"/>
  <c r="AQ23" i="1"/>
  <c r="B53" i="22"/>
  <c r="Z23" i="1"/>
  <c r="AB25" i="1" s="1"/>
  <c r="AQ24" i="1"/>
  <c r="B53" i="23"/>
  <c r="B56" i="23"/>
  <c r="B55" i="22"/>
  <c r="I23" i="23"/>
  <c r="AQ26" i="1"/>
  <c r="AQ25" i="1"/>
  <c r="B55" i="23"/>
  <c r="B54" i="23"/>
  <c r="B53" i="20"/>
  <c r="B54" i="22"/>
  <c r="B56" i="22"/>
  <c r="F59" i="23"/>
  <c r="C59" i="23" s="1"/>
  <c r="F60" i="23"/>
  <c r="D59" i="23" s="1"/>
  <c r="K32" i="20"/>
  <c r="K30" i="20"/>
  <c r="K33" i="20"/>
  <c r="D32" i="22"/>
  <c r="B32" i="22" s="1"/>
  <c r="K31" i="20"/>
  <c r="B10" i="23"/>
  <c r="B8" i="23"/>
  <c r="Z3" i="1"/>
  <c r="AB5" i="1" s="1"/>
  <c r="B9" i="22"/>
  <c r="B10" i="22"/>
  <c r="B11" i="23"/>
  <c r="AQ4" i="1"/>
  <c r="AM5" i="1"/>
  <c r="B8" i="22"/>
  <c r="AQ3" i="1"/>
  <c r="X3" i="1" s="1"/>
  <c r="Y3" i="1" s="1"/>
  <c r="AK3" i="1" s="1"/>
  <c r="B9" i="23"/>
  <c r="B11" i="22"/>
  <c r="B8" i="20"/>
  <c r="H53" i="1"/>
  <c r="AQ5" i="1"/>
  <c r="AQ6" i="1"/>
  <c r="AM6" i="1"/>
  <c r="Z31" i="1"/>
  <c r="AB33" i="1" s="1"/>
  <c r="B74" i="22"/>
  <c r="B72" i="22"/>
  <c r="AQ33" i="1"/>
  <c r="AQ32" i="1"/>
  <c r="B73" i="23"/>
  <c r="B71" i="23"/>
  <c r="AQ34" i="1"/>
  <c r="B73" i="22"/>
  <c r="B71" i="20"/>
  <c r="B71" i="22"/>
  <c r="B74" i="23"/>
  <c r="AQ31" i="1"/>
  <c r="B72" i="23"/>
  <c r="F87" i="23"/>
  <c r="D86" i="23" s="1"/>
  <c r="F86" i="23"/>
  <c r="C86" i="23" s="1"/>
  <c r="F5" i="23"/>
  <c r="C5" i="23" s="1"/>
  <c r="F6" i="23"/>
  <c r="D5" i="23" s="1"/>
  <c r="F77" i="23"/>
  <c r="C77" i="23" s="1"/>
  <c r="F78" i="23"/>
  <c r="D77" i="23" s="1"/>
  <c r="F69" i="23"/>
  <c r="D68" i="23" s="1"/>
  <c r="F68" i="23"/>
  <c r="C68" i="23" s="1"/>
  <c r="B68" i="23" s="1"/>
  <c r="N31" i="1" s="1"/>
  <c r="N32" i="1" s="1"/>
  <c r="C31" i="1" s="1"/>
  <c r="O17" i="1" s="1"/>
  <c r="AQ8" i="1"/>
  <c r="B18" i="22"/>
  <c r="Z7" i="1"/>
  <c r="AB9" i="1" s="1"/>
  <c r="AQ7" i="1"/>
  <c r="B17" i="22"/>
  <c r="B17" i="20"/>
  <c r="B18" i="23"/>
  <c r="B19" i="22"/>
  <c r="B20" i="22"/>
  <c r="AQ10" i="1"/>
  <c r="B17" i="23"/>
  <c r="AQ9" i="1"/>
  <c r="B19" i="23"/>
  <c r="B20" i="23"/>
  <c r="D14" i="22"/>
  <c r="B14" i="22" s="1"/>
  <c r="K13" i="20"/>
  <c r="K14" i="20"/>
  <c r="K15" i="20"/>
  <c r="K12" i="20"/>
  <c r="F50" i="23"/>
  <c r="C50" i="23" s="1"/>
  <c r="F51" i="23"/>
  <c r="D50" i="23" s="1"/>
  <c r="B63" i="23"/>
  <c r="B64" i="22"/>
  <c r="AQ30" i="1"/>
  <c r="AQ28" i="1"/>
  <c r="AQ29" i="1"/>
  <c r="Z27" i="1"/>
  <c r="AB29" i="1" s="1"/>
  <c r="B62" i="22"/>
  <c r="B62" i="23"/>
  <c r="B62" i="20"/>
  <c r="B64" i="23"/>
  <c r="AQ27" i="1"/>
  <c r="B63" i="22"/>
  <c r="B65" i="22"/>
  <c r="AQ22" i="1"/>
  <c r="B47" i="23"/>
  <c r="B45" i="22"/>
  <c r="B47" i="22"/>
  <c r="B46" i="23"/>
  <c r="B46" i="22"/>
  <c r="B44" i="22"/>
  <c r="Z19" i="1"/>
  <c r="AB21" i="1" s="1"/>
  <c r="AQ20" i="1"/>
  <c r="B44" i="23"/>
  <c r="B45" i="23"/>
  <c r="B44" i="20"/>
  <c r="AQ19" i="1"/>
  <c r="AQ21" i="1"/>
  <c r="AQ17" i="1"/>
  <c r="B35" i="23"/>
  <c r="AQ15" i="1"/>
  <c r="B37" i="22"/>
  <c r="B35" i="22"/>
  <c r="B36" i="23"/>
  <c r="B37" i="23"/>
  <c r="B38" i="22"/>
  <c r="AQ16" i="1"/>
  <c r="AQ18" i="1"/>
  <c r="Z15" i="1"/>
  <c r="AB17" i="1" s="1"/>
  <c r="I14" i="23"/>
  <c r="B38" i="23"/>
  <c r="B36" i="22"/>
  <c r="B35" i="20"/>
  <c r="F15" i="23"/>
  <c r="D14" i="23" s="1"/>
  <c r="F14" i="23"/>
  <c r="C14" i="23" s="1"/>
  <c r="F23" i="23"/>
  <c r="C23" i="23" s="1"/>
  <c r="F24" i="23"/>
  <c r="D23" i="23" s="1"/>
  <c r="Z39" i="1"/>
  <c r="AB41" i="1" s="1"/>
  <c r="AQ42" i="1"/>
  <c r="B89" i="22"/>
  <c r="B90" i="23"/>
  <c r="B92" i="23"/>
  <c r="B89" i="23"/>
  <c r="B92" i="22"/>
  <c r="B91" i="23"/>
  <c r="B89" i="20"/>
  <c r="AQ41" i="1"/>
  <c r="AQ39" i="1"/>
  <c r="AQ40" i="1"/>
  <c r="B91" i="22"/>
  <c r="B90" i="22"/>
  <c r="H71" i="23"/>
  <c r="N34" i="1" s="1"/>
  <c r="N20" i="1"/>
  <c r="C19" i="1" s="1"/>
  <c r="H44" i="23"/>
  <c r="N22" i="1" s="1"/>
  <c r="B86" i="23" l="1"/>
  <c r="N39" i="1" s="1"/>
  <c r="B77" i="23"/>
  <c r="N35" i="1" s="1"/>
  <c r="N18" i="1"/>
  <c r="B50" i="23"/>
  <c r="N23" i="1" s="1"/>
  <c r="B59" i="23"/>
  <c r="N27" i="1" s="1"/>
  <c r="N16" i="1"/>
  <c r="C15" i="1" s="1"/>
  <c r="B23" i="23"/>
  <c r="N11" i="1" s="1"/>
  <c r="B14" i="23"/>
  <c r="N7" i="1" s="1"/>
  <c r="B5" i="23"/>
  <c r="N3" i="1" s="1"/>
  <c r="AJ3" i="1"/>
  <c r="AR3" i="1" s="1"/>
  <c r="H34" i="1"/>
  <c r="E63" i="24"/>
  <c r="H32" i="1"/>
  <c r="H20" i="1"/>
  <c r="E39" i="24"/>
  <c r="H22" i="1"/>
  <c r="H89" i="23" l="1"/>
  <c r="N42" i="1" s="1"/>
  <c r="N40" i="1"/>
  <c r="C39" i="1" s="1"/>
  <c r="H8" i="23"/>
  <c r="N6" i="1" s="1"/>
  <c r="AE44" i="1" s="1"/>
  <c r="N4" i="1"/>
  <c r="C3" i="1" s="1"/>
  <c r="N8" i="1"/>
  <c r="C7" i="1" s="1"/>
  <c r="H17" i="23"/>
  <c r="N10" i="1" s="1"/>
  <c r="N12" i="1"/>
  <c r="C11" i="1" s="1"/>
  <c r="H26" i="23"/>
  <c r="N14" i="1" s="1"/>
  <c r="H18" i="1"/>
  <c r="H16" i="1"/>
  <c r="E31" i="24"/>
  <c r="N28" i="1"/>
  <c r="C27" i="1" s="1"/>
  <c r="H62" i="23"/>
  <c r="N30" i="1" s="1"/>
  <c r="N24" i="1"/>
  <c r="C23" i="1" s="1"/>
  <c r="H53" i="23"/>
  <c r="N26" i="1" s="1"/>
  <c r="H80" i="23"/>
  <c r="N38" i="1" s="1"/>
  <c r="N36" i="1"/>
  <c r="C35" i="1" s="1"/>
  <c r="C63" i="24"/>
  <c r="U59" i="24"/>
  <c r="U63" i="24" s="1"/>
  <c r="S59" i="24"/>
  <c r="S63" i="24" s="1"/>
  <c r="D63" i="24"/>
  <c r="T59" i="24"/>
  <c r="T63" i="24" s="1"/>
  <c r="C60" i="21"/>
  <c r="B63" i="21"/>
  <c r="J61" i="21"/>
  <c r="J59" i="21"/>
  <c r="F59" i="21"/>
  <c r="J58" i="21"/>
  <c r="B63" i="24"/>
  <c r="R59" i="24"/>
  <c r="R63" i="24" s="1"/>
  <c r="J60" i="21"/>
  <c r="C39" i="24"/>
  <c r="J34" i="21"/>
  <c r="B39" i="24"/>
  <c r="J36" i="21"/>
  <c r="B39" i="21"/>
  <c r="F35" i="21"/>
  <c r="R35" i="24"/>
  <c r="R39" i="24" s="1"/>
  <c r="J37" i="21"/>
  <c r="S35" i="24"/>
  <c r="S39" i="24" s="1"/>
  <c r="J35" i="21"/>
  <c r="C36" i="21"/>
  <c r="U35" i="24"/>
  <c r="U39" i="24" s="1"/>
  <c r="T35" i="24"/>
  <c r="T39" i="24" s="1"/>
  <c r="D39" i="24"/>
  <c r="H42" i="1" l="1"/>
  <c r="H40" i="1"/>
  <c r="E79" i="24"/>
  <c r="E47" i="24"/>
  <c r="H26" i="1"/>
  <c r="H24" i="1"/>
  <c r="H30" i="1"/>
  <c r="H28" i="1"/>
  <c r="E55" i="24"/>
  <c r="H38" i="1"/>
  <c r="E71" i="24"/>
  <c r="H36" i="1"/>
  <c r="H12" i="1"/>
  <c r="E23" i="24"/>
  <c r="H14" i="1"/>
  <c r="J28" i="21"/>
  <c r="J27" i="21"/>
  <c r="S27" i="24"/>
  <c r="S31" i="24" s="1"/>
  <c r="J26" i="21"/>
  <c r="B31" i="21"/>
  <c r="D31" i="24"/>
  <c r="J29" i="21"/>
  <c r="T27" i="24"/>
  <c r="T31" i="24" s="1"/>
  <c r="R27" i="24"/>
  <c r="R31" i="24" s="1"/>
  <c r="F27" i="21"/>
  <c r="C31" i="24"/>
  <c r="B31" i="24"/>
  <c r="U27" i="24"/>
  <c r="U31" i="24" s="1"/>
  <c r="C28" i="21"/>
  <c r="H8" i="1"/>
  <c r="H10" i="1"/>
  <c r="E15" i="24"/>
  <c r="H6" i="1"/>
  <c r="H4" i="1" a="1"/>
  <c r="H4" i="1" s="1"/>
  <c r="E7" i="24"/>
  <c r="AR59" i="21"/>
  <c r="AP58" i="21"/>
  <c r="AT61" i="21"/>
  <c r="AQ58" i="21"/>
  <c r="AS59" i="21"/>
  <c r="AP59" i="21"/>
  <c r="AO58" i="21"/>
  <c r="AR61" i="21"/>
  <c r="AN58" i="21"/>
  <c r="AU59" i="21"/>
  <c r="AR60" i="21"/>
  <c r="AT58" i="21"/>
  <c r="AT63" i="21" s="1"/>
  <c r="AU60" i="21"/>
  <c r="AJ58" i="21"/>
  <c r="AQ61" i="21"/>
  <c r="AK58" i="21"/>
  <c r="AS61" i="21"/>
  <c r="AT60" i="21"/>
  <c r="AR58" i="21"/>
  <c r="AR63" i="21" s="1"/>
  <c r="AU58" i="21"/>
  <c r="AU63" i="21" s="1"/>
  <c r="AQ59" i="21"/>
  <c r="AN61" i="21"/>
  <c r="AU61" i="21"/>
  <c r="AS60" i="21"/>
  <c r="AQ60" i="21"/>
  <c r="AS58" i="21"/>
  <c r="AS63" i="21" s="1"/>
  <c r="AT59" i="21"/>
  <c r="AN59" i="21"/>
  <c r="L59" i="24"/>
  <c r="L63" i="24" s="1"/>
  <c r="M59" i="24"/>
  <c r="M63" i="24" s="1"/>
  <c r="N59" i="24"/>
  <c r="N63" i="24" s="1"/>
  <c r="Q59" i="24"/>
  <c r="Q63" i="24" s="1"/>
  <c r="V59" i="21"/>
  <c r="U60" i="21"/>
  <c r="U58" i="21"/>
  <c r="R58" i="21"/>
  <c r="P61" i="21"/>
  <c r="T60" i="21"/>
  <c r="T58" i="21"/>
  <c r="T59" i="21"/>
  <c r="S58" i="21"/>
  <c r="L58" i="21"/>
  <c r="U61" i="21"/>
  <c r="Q58" i="21"/>
  <c r="S59" i="21"/>
  <c r="T61" i="21"/>
  <c r="V60" i="21"/>
  <c r="S60" i="21"/>
  <c r="S61" i="21"/>
  <c r="W61" i="21"/>
  <c r="W58" i="21"/>
  <c r="W60" i="21"/>
  <c r="P58" i="21"/>
  <c r="P59" i="21"/>
  <c r="M58" i="21"/>
  <c r="V58" i="21"/>
  <c r="U59" i="21"/>
  <c r="V61" i="21"/>
  <c r="R59" i="21"/>
  <c r="W59" i="21"/>
  <c r="F60" i="21"/>
  <c r="D63" i="21"/>
  <c r="C63" i="21" s="1"/>
  <c r="AF61" i="21"/>
  <c r="X58" i="21"/>
  <c r="AD59" i="21"/>
  <c r="AC58" i="21"/>
  <c r="AI58" i="21"/>
  <c r="AI63" i="21" s="1"/>
  <c r="AI59" i="21"/>
  <c r="AH58" i="21"/>
  <c r="AD58" i="21"/>
  <c r="AF58" i="21"/>
  <c r="AH59" i="21"/>
  <c r="AI61" i="21"/>
  <c r="AB58" i="21"/>
  <c r="AG58" i="21"/>
  <c r="AF59" i="21"/>
  <c r="AB59" i="21"/>
  <c r="Y58" i="21"/>
  <c r="AI60" i="21"/>
  <c r="AB61" i="21"/>
  <c r="BD60" i="21"/>
  <c r="BF58" i="21"/>
  <c r="BD58" i="21"/>
  <c r="BC58" i="21"/>
  <c r="BG60" i="21"/>
  <c r="BG59" i="21"/>
  <c r="BE59" i="21"/>
  <c r="BG58" i="21"/>
  <c r="BB58" i="21"/>
  <c r="BF59" i="21"/>
  <c r="BD59" i="21"/>
  <c r="BE58" i="21"/>
  <c r="BA58" i="21"/>
  <c r="BC60" i="21"/>
  <c r="AW58" i="21"/>
  <c r="AV58" i="21"/>
  <c r="BF61" i="21"/>
  <c r="BC59" i="21"/>
  <c r="BD61" i="21"/>
  <c r="BE60" i="21"/>
  <c r="BG61" i="21"/>
  <c r="BE61" i="21"/>
  <c r="BB59" i="21"/>
  <c r="BC61" i="21"/>
  <c r="BF60" i="21"/>
  <c r="AZ61" i="21"/>
  <c r="AO60" i="21"/>
  <c r="AE58" i="21"/>
  <c r="Z59" i="21"/>
  <c r="M61" i="21"/>
  <c r="L61" i="21"/>
  <c r="AJ59" i="21"/>
  <c r="AE60" i="21"/>
  <c r="M59" i="21"/>
  <c r="AH60" i="21"/>
  <c r="AL59" i="21"/>
  <c r="AD61" i="21"/>
  <c r="AG60" i="21"/>
  <c r="AO61" i="21"/>
  <c r="AC60" i="21"/>
  <c r="AG61" i="21"/>
  <c r="AW59" i="21"/>
  <c r="AM59" i="21"/>
  <c r="Y59" i="21"/>
  <c r="AX61" i="21"/>
  <c r="AX59" i="21"/>
  <c r="AM60" i="21"/>
  <c r="Y60" i="21"/>
  <c r="M60" i="21"/>
  <c r="AV59" i="21"/>
  <c r="X60" i="21"/>
  <c r="BB60" i="21"/>
  <c r="AK59" i="21"/>
  <c r="AV61" i="21"/>
  <c r="L59" i="21"/>
  <c r="AY58" i="21"/>
  <c r="AN60" i="21"/>
  <c r="AP61" i="21"/>
  <c r="Z61" i="21"/>
  <c r="L60" i="21"/>
  <c r="AJ60" i="21"/>
  <c r="AD60" i="21"/>
  <c r="AE61" i="21"/>
  <c r="AW60" i="21"/>
  <c r="AC59" i="21"/>
  <c r="AO59" i="21"/>
  <c r="N61" i="21"/>
  <c r="BA61" i="21"/>
  <c r="AA61" i="21"/>
  <c r="R61" i="21"/>
  <c r="AH61" i="21"/>
  <c r="N60" i="21"/>
  <c r="AM61" i="21"/>
  <c r="AL61" i="21"/>
  <c r="AL58" i="21"/>
  <c r="AY60" i="21"/>
  <c r="O58" i="21"/>
  <c r="O59" i="21"/>
  <c r="AZ58" i="21"/>
  <c r="AK61" i="21"/>
  <c r="AX60" i="21"/>
  <c r="AA58" i="21"/>
  <c r="Z60" i="21"/>
  <c r="AP60" i="21"/>
  <c r="BA60" i="21"/>
  <c r="AY59" i="21"/>
  <c r="AC61" i="21"/>
  <c r="X59" i="21"/>
  <c r="AF60" i="21"/>
  <c r="AE59" i="21"/>
  <c r="Q61" i="21"/>
  <c r="P60" i="21"/>
  <c r="AW61" i="21"/>
  <c r="Q60" i="21"/>
  <c r="AV60" i="21"/>
  <c r="N58" i="21"/>
  <c r="Z58" i="21"/>
  <c r="AY61" i="21"/>
  <c r="AZ60" i="21"/>
  <c r="O60" i="21"/>
  <c r="Q59" i="21"/>
  <c r="AB60" i="21"/>
  <c r="X61" i="21"/>
  <c r="AL60" i="21"/>
  <c r="BA59" i="21"/>
  <c r="O61" i="21"/>
  <c r="AX58" i="21"/>
  <c r="AG59" i="21"/>
  <c r="R60" i="21"/>
  <c r="AZ59" i="21"/>
  <c r="AK60" i="21"/>
  <c r="AJ61" i="21"/>
  <c r="AM58" i="21"/>
  <c r="AA59" i="21"/>
  <c r="N59" i="21"/>
  <c r="BB61" i="21"/>
  <c r="AA60" i="21"/>
  <c r="Y61" i="21"/>
  <c r="BF34" i="21"/>
  <c r="BB35" i="21"/>
  <c r="BA34" i="21"/>
  <c r="BC37" i="21"/>
  <c r="BB34" i="21"/>
  <c r="BE34" i="21"/>
  <c r="BD35" i="21"/>
  <c r="BC36" i="21"/>
  <c r="BF36" i="21"/>
  <c r="BC35" i="21"/>
  <c r="AW34" i="21"/>
  <c r="BG37" i="21"/>
  <c r="BC34" i="21"/>
  <c r="BD34" i="21"/>
  <c r="BF37" i="21"/>
  <c r="BG36" i="21"/>
  <c r="AV34" i="21"/>
  <c r="BD37" i="21"/>
  <c r="BG34" i="21"/>
  <c r="BE37" i="21"/>
  <c r="BE36" i="21"/>
  <c r="BD36" i="21"/>
  <c r="BG35" i="21"/>
  <c r="BF35" i="21"/>
  <c r="BE35" i="21"/>
  <c r="BA36" i="21"/>
  <c r="AE37" i="21"/>
  <c r="AX36" i="21"/>
  <c r="AC36" i="21"/>
  <c r="Q36" i="21"/>
  <c r="Q37" i="21"/>
  <c r="P36" i="21"/>
  <c r="AX37" i="21"/>
  <c r="Z34" i="21"/>
  <c r="AA36" i="21"/>
  <c r="AM37" i="21"/>
  <c r="AA37" i="21"/>
  <c r="AO37" i="21"/>
  <c r="AE34" i="21"/>
  <c r="AN36" i="21"/>
  <c r="AA34" i="21"/>
  <c r="O34" i="21"/>
  <c r="AC37" i="21"/>
  <c r="AB36" i="21"/>
  <c r="N34" i="21"/>
  <c r="O36" i="21"/>
  <c r="AV35" i="21"/>
  <c r="O37" i="21"/>
  <c r="BB37" i="21"/>
  <c r="N36" i="21"/>
  <c r="AV37" i="21"/>
  <c r="X36" i="21"/>
  <c r="AP36" i="21"/>
  <c r="L36" i="21"/>
  <c r="AY37" i="21"/>
  <c r="AL35" i="21"/>
  <c r="AW35" i="21"/>
  <c r="BA35" i="21"/>
  <c r="N35" i="21"/>
  <c r="AG35" i="21"/>
  <c r="Z35" i="21"/>
  <c r="AK36" i="21"/>
  <c r="AE35" i="21"/>
  <c r="R37" i="21"/>
  <c r="AK37" i="21"/>
  <c r="AL34" i="21"/>
  <c r="AD37" i="21"/>
  <c r="AY35" i="21"/>
  <c r="AA35" i="21"/>
  <c r="M37" i="21"/>
  <c r="AL37" i="21"/>
  <c r="AY36" i="21"/>
  <c r="AL36" i="21"/>
  <c r="AY34" i="21"/>
  <c r="AM36" i="21"/>
  <c r="AW37" i="21"/>
  <c r="AV36" i="21"/>
  <c r="AH37" i="21"/>
  <c r="AJ36" i="21"/>
  <c r="Z36" i="21"/>
  <c r="M35" i="21"/>
  <c r="AG37" i="21"/>
  <c r="AZ36" i="21"/>
  <c r="Z37" i="21"/>
  <c r="AF36" i="21"/>
  <c r="L35" i="21"/>
  <c r="AK35" i="21"/>
  <c r="AZ35" i="21"/>
  <c r="AH36" i="21"/>
  <c r="Y35" i="21"/>
  <c r="N37" i="21"/>
  <c r="BA37" i="21"/>
  <c r="AC35" i="21"/>
  <c r="Y36" i="21"/>
  <c r="AZ37" i="21"/>
  <c r="AE36" i="21"/>
  <c r="BB36" i="21"/>
  <c r="AG36" i="21"/>
  <c r="AO35" i="21"/>
  <c r="X35" i="21"/>
  <c r="O35" i="21"/>
  <c r="AZ34" i="21"/>
  <c r="AW36" i="21"/>
  <c r="AX34" i="21"/>
  <c r="Y37" i="21"/>
  <c r="M36" i="21"/>
  <c r="Q35" i="21"/>
  <c r="AJ35" i="21"/>
  <c r="AO36" i="21"/>
  <c r="AM35" i="21"/>
  <c r="X37" i="21"/>
  <c r="L37" i="21"/>
  <c r="AJ37" i="21"/>
  <c r="AX35" i="21"/>
  <c r="AD36" i="21"/>
  <c r="AM34" i="21"/>
  <c r="AP37" i="21"/>
  <c r="R36" i="21"/>
  <c r="AT34" i="21"/>
  <c r="AQ35" i="21"/>
  <c r="AU37" i="21"/>
  <c r="AT37" i="21"/>
  <c r="AR35" i="21"/>
  <c r="AU35" i="21"/>
  <c r="AK34" i="21"/>
  <c r="AU34" i="21"/>
  <c r="AR37" i="21"/>
  <c r="AJ34" i="21"/>
  <c r="AU36" i="21"/>
  <c r="AP35" i="21"/>
  <c r="AO34" i="21"/>
  <c r="AS34" i="21"/>
  <c r="AN37" i="21"/>
  <c r="AS37" i="21"/>
  <c r="AR36" i="21"/>
  <c r="AQ34" i="21"/>
  <c r="AQ37" i="21"/>
  <c r="AN35" i="21"/>
  <c r="AT36" i="21"/>
  <c r="AS35" i="21"/>
  <c r="AR34" i="21"/>
  <c r="AS36" i="21"/>
  <c r="AP34" i="21"/>
  <c r="AQ36" i="21"/>
  <c r="AN34" i="21"/>
  <c r="AT35" i="21"/>
  <c r="AD35" i="21"/>
  <c r="AB34" i="21"/>
  <c r="AH34" i="21"/>
  <c r="AB35" i="21"/>
  <c r="AF37" i="21"/>
  <c r="AC34" i="21"/>
  <c r="AI36" i="21"/>
  <c r="X34" i="21"/>
  <c r="AD34" i="21"/>
  <c r="AI35" i="21"/>
  <c r="AH35" i="21"/>
  <c r="AI34" i="21"/>
  <c r="AG34" i="21"/>
  <c r="AF34" i="21"/>
  <c r="AI37" i="21"/>
  <c r="AB37" i="21"/>
  <c r="AF35" i="21"/>
  <c r="Y34" i="21"/>
  <c r="L35" i="24"/>
  <c r="L39" i="24" s="1"/>
  <c r="Q35" i="24"/>
  <c r="Q39" i="24" s="1"/>
  <c r="N35" i="24"/>
  <c r="N39" i="24" s="1"/>
  <c r="M35" i="24"/>
  <c r="M39" i="24" s="1"/>
  <c r="T34" i="21"/>
  <c r="V36" i="21"/>
  <c r="Q34" i="21"/>
  <c r="T35" i="21"/>
  <c r="S34" i="21"/>
  <c r="U35" i="21"/>
  <c r="L34" i="21"/>
  <c r="W37" i="21"/>
  <c r="U37" i="21"/>
  <c r="T36" i="21"/>
  <c r="R34" i="21"/>
  <c r="W35" i="21"/>
  <c r="U34" i="21"/>
  <c r="W36" i="21"/>
  <c r="S35" i="21"/>
  <c r="P35" i="21"/>
  <c r="V37" i="21"/>
  <c r="U36" i="21"/>
  <c r="T37" i="21"/>
  <c r="V35" i="21"/>
  <c r="V34" i="21"/>
  <c r="S36" i="21"/>
  <c r="R35" i="21"/>
  <c r="W34" i="21"/>
  <c r="S37" i="21"/>
  <c r="P34" i="21"/>
  <c r="P37" i="21"/>
  <c r="M34" i="21"/>
  <c r="D39" i="21"/>
  <c r="C39" i="21" s="1"/>
  <c r="F36" i="21"/>
  <c r="G36" i="21" a="1"/>
  <c r="G60" i="21" a="1"/>
  <c r="C79" i="24" l="1"/>
  <c r="F75" i="21"/>
  <c r="J74" i="21"/>
  <c r="U75" i="24"/>
  <c r="U79" i="24" s="1"/>
  <c r="R75" i="24"/>
  <c r="R79" i="24" s="1"/>
  <c r="S75" i="24"/>
  <c r="S79" i="24" s="1"/>
  <c r="J76" i="21"/>
  <c r="C76" i="21"/>
  <c r="D79" i="24"/>
  <c r="J75" i="21"/>
  <c r="B79" i="24"/>
  <c r="B79" i="21"/>
  <c r="T75" i="24"/>
  <c r="T79" i="24" s="1"/>
  <c r="J77" i="21"/>
  <c r="S27" i="21"/>
  <c r="R27" i="21"/>
  <c r="W28" i="21"/>
  <c r="U26" i="21"/>
  <c r="R26" i="21"/>
  <c r="S29" i="21"/>
  <c r="U27" i="21"/>
  <c r="T26" i="21"/>
  <c r="P29" i="21"/>
  <c r="T27" i="21"/>
  <c r="T29" i="21"/>
  <c r="V27" i="21"/>
  <c r="S28" i="21"/>
  <c r="L26" i="21"/>
  <c r="V29" i="21"/>
  <c r="M26" i="21"/>
  <c r="M31" i="21" s="1"/>
  <c r="V28" i="21"/>
  <c r="U28" i="21"/>
  <c r="P26" i="21"/>
  <c r="P27" i="21"/>
  <c r="T28" i="21"/>
  <c r="Q26" i="21"/>
  <c r="U29" i="21"/>
  <c r="S26" i="21"/>
  <c r="W29" i="21"/>
  <c r="W27" i="21"/>
  <c r="W26" i="21"/>
  <c r="W31" i="21" s="1"/>
  <c r="V26" i="21"/>
  <c r="U3" i="24"/>
  <c r="U7" i="24" s="1"/>
  <c r="B7" i="24"/>
  <c r="F3" i="21"/>
  <c r="J3" i="21"/>
  <c r="B7" i="21"/>
  <c r="J2" i="21"/>
  <c r="J5" i="21"/>
  <c r="D7" i="24"/>
  <c r="T3" i="24"/>
  <c r="T7" i="24" s="1"/>
  <c r="C7" i="24"/>
  <c r="S3" i="24"/>
  <c r="S7" i="24" s="1"/>
  <c r="J4" i="21"/>
  <c r="R3" i="24"/>
  <c r="R7" i="24" s="1"/>
  <c r="C4" i="21"/>
  <c r="S11" i="24"/>
  <c r="S15" i="24" s="1"/>
  <c r="F11" i="21"/>
  <c r="J10" i="21"/>
  <c r="C15" i="24"/>
  <c r="C12" i="21"/>
  <c r="J13" i="21"/>
  <c r="D15" i="24"/>
  <c r="B15" i="24"/>
  <c r="J12" i="21"/>
  <c r="J11" i="21"/>
  <c r="B15" i="21"/>
  <c r="U11" i="24"/>
  <c r="U15" i="24" s="1"/>
  <c r="R11" i="24"/>
  <c r="R15" i="24" s="1"/>
  <c r="T11" i="24"/>
  <c r="T15" i="24" s="1"/>
  <c r="J69" i="21"/>
  <c r="B71" i="24"/>
  <c r="T67" i="24"/>
  <c r="T71" i="24" s="1"/>
  <c r="J68" i="21"/>
  <c r="C68" i="21"/>
  <c r="R67" i="24"/>
  <c r="R71" i="24" s="1"/>
  <c r="D71" i="24"/>
  <c r="U67" i="24"/>
  <c r="U71" i="24" s="1"/>
  <c r="C71" i="24"/>
  <c r="J66" i="21"/>
  <c r="S67" i="24"/>
  <c r="S71" i="24" s="1"/>
  <c r="B71" i="21"/>
  <c r="J67" i="21"/>
  <c r="F67" i="21"/>
  <c r="F28" i="21"/>
  <c r="D31" i="21"/>
  <c r="C31" i="21" s="1"/>
  <c r="AB29" i="21"/>
  <c r="Y26" i="21"/>
  <c r="AB26" i="21"/>
  <c r="AB31" i="21" s="1"/>
  <c r="AF27" i="21"/>
  <c r="AC26" i="21"/>
  <c r="AH26" i="21"/>
  <c r="AG26" i="21"/>
  <c r="X26" i="21"/>
  <c r="AI26" i="21"/>
  <c r="AF26" i="21"/>
  <c r="AI27" i="21"/>
  <c r="AH27" i="21"/>
  <c r="AF29" i="21"/>
  <c r="AB27" i="21"/>
  <c r="AD26" i="21"/>
  <c r="AD27" i="21"/>
  <c r="AI29" i="21"/>
  <c r="AI28" i="21"/>
  <c r="AQ28" i="21"/>
  <c r="AS29" i="21"/>
  <c r="AS28" i="21"/>
  <c r="AR28" i="21"/>
  <c r="AJ26" i="21"/>
  <c r="AJ31" i="21" s="1"/>
  <c r="AS27" i="21"/>
  <c r="AQ27" i="21"/>
  <c r="AQ29" i="21"/>
  <c r="AR26" i="21"/>
  <c r="AK26" i="21"/>
  <c r="AU29" i="21"/>
  <c r="AN29" i="21"/>
  <c r="AU26" i="21"/>
  <c r="AT28" i="21"/>
  <c r="AU28" i="21"/>
  <c r="AT29" i="21"/>
  <c r="AN27" i="21"/>
  <c r="AP26" i="21"/>
  <c r="AT26" i="21"/>
  <c r="AT31" i="21" s="1"/>
  <c r="AQ26" i="21"/>
  <c r="AR29" i="21"/>
  <c r="AS26" i="21"/>
  <c r="AS31" i="21" s="1"/>
  <c r="AO26" i="21"/>
  <c r="AR27" i="21"/>
  <c r="AP27" i="21"/>
  <c r="AU27" i="21"/>
  <c r="AT27" i="21"/>
  <c r="AN26" i="21"/>
  <c r="J21" i="21"/>
  <c r="B23" i="21"/>
  <c r="C23" i="24"/>
  <c r="D23" i="24"/>
  <c r="F19" i="21"/>
  <c r="S19" i="24"/>
  <c r="S23" i="24" s="1"/>
  <c r="J20" i="21"/>
  <c r="R19" i="24"/>
  <c r="R23" i="24" s="1"/>
  <c r="B23" i="24"/>
  <c r="C20" i="21"/>
  <c r="T19" i="24"/>
  <c r="T23" i="24" s="1"/>
  <c r="J19" i="21"/>
  <c r="U19" i="24"/>
  <c r="U23" i="24" s="1"/>
  <c r="J18" i="21"/>
  <c r="Q27" i="24"/>
  <c r="Q31" i="24" s="1"/>
  <c r="L27" i="24"/>
  <c r="L31" i="24" s="1"/>
  <c r="N27" i="24"/>
  <c r="N31" i="24" s="1"/>
  <c r="M27" i="24"/>
  <c r="M31" i="24" s="1"/>
  <c r="B55" i="21"/>
  <c r="U51" i="24"/>
  <c r="U55" i="24" s="1"/>
  <c r="F51" i="21"/>
  <c r="T51" i="24"/>
  <c r="T55" i="24" s="1"/>
  <c r="S51" i="24"/>
  <c r="S55" i="24" s="1"/>
  <c r="R51" i="24"/>
  <c r="R55" i="24" s="1"/>
  <c r="J50" i="21"/>
  <c r="J52" i="21"/>
  <c r="J53" i="21"/>
  <c r="D55" i="24"/>
  <c r="B55" i="24"/>
  <c r="C55" i="24"/>
  <c r="J51" i="21"/>
  <c r="C52" i="21"/>
  <c r="BE29" i="21"/>
  <c r="BE26" i="21"/>
  <c r="BD29" i="21"/>
  <c r="BF29" i="21"/>
  <c r="BC28" i="21"/>
  <c r="BE27" i="21"/>
  <c r="BG26" i="21"/>
  <c r="BA26" i="21"/>
  <c r="BG28" i="21"/>
  <c r="BF28" i="21"/>
  <c r="BC27" i="21"/>
  <c r="BG27" i="21"/>
  <c r="BC29" i="21"/>
  <c r="BD27" i="21"/>
  <c r="AV26" i="21"/>
  <c r="BB26" i="21"/>
  <c r="BF27" i="21"/>
  <c r="AW26" i="21"/>
  <c r="BG29" i="21"/>
  <c r="BB27" i="21"/>
  <c r="BF26" i="21"/>
  <c r="BE28" i="21"/>
  <c r="BC26" i="21"/>
  <c r="BD26" i="21"/>
  <c r="BD28" i="21"/>
  <c r="AY26" i="21"/>
  <c r="AV28" i="21"/>
  <c r="Q28" i="21"/>
  <c r="P28" i="21"/>
  <c r="AX28" i="21"/>
  <c r="Z29" i="21"/>
  <c r="AC27" i="21"/>
  <c r="BA29" i="21"/>
  <c r="R29" i="21"/>
  <c r="N27" i="21"/>
  <c r="AL26" i="21"/>
  <c r="AE26" i="21"/>
  <c r="AA28" i="21"/>
  <c r="AZ29" i="21"/>
  <c r="BB28" i="21"/>
  <c r="AG28" i="21"/>
  <c r="L27" i="21"/>
  <c r="X27" i="21"/>
  <c r="AE28" i="21"/>
  <c r="AV27" i="21"/>
  <c r="AY29" i="21"/>
  <c r="AL28" i="21"/>
  <c r="Y27" i="21"/>
  <c r="Y29" i="21"/>
  <c r="O29" i="21"/>
  <c r="Q27" i="21"/>
  <c r="AW27" i="21"/>
  <c r="X29" i="21"/>
  <c r="AW28" i="21"/>
  <c r="AW29" i="21"/>
  <c r="O28" i="21"/>
  <c r="AP28" i="21"/>
  <c r="AH28" i="21"/>
  <c r="AC28" i="21"/>
  <c r="BA28" i="21"/>
  <c r="M29" i="21"/>
  <c r="AJ27" i="21"/>
  <c r="AH29" i="21"/>
  <c r="AJ29" i="21"/>
  <c r="AM29" i="21"/>
  <c r="N28" i="21"/>
  <c r="AD28" i="21"/>
  <c r="Y28" i="21"/>
  <c r="AA26" i="21"/>
  <c r="AF28" i="21"/>
  <c r="AZ28" i="21"/>
  <c r="AJ28" i="21"/>
  <c r="Z28" i="21"/>
  <c r="AP29" i="21"/>
  <c r="Z26" i="21"/>
  <c r="X28" i="21"/>
  <c r="BA27" i="21"/>
  <c r="L29" i="21"/>
  <c r="R28" i="21"/>
  <c r="M28" i="21"/>
  <c r="AG29" i="21"/>
  <c r="N29" i="21"/>
  <c r="AA29" i="21"/>
  <c r="AA27" i="21"/>
  <c r="AN28" i="21"/>
  <c r="AD29" i="21"/>
  <c r="AV29" i="21"/>
  <c r="Z27" i="21"/>
  <c r="O27" i="21"/>
  <c r="AX26" i="21"/>
  <c r="AX31" i="21" s="1"/>
  <c r="N26" i="21"/>
  <c r="AO27" i="21"/>
  <c r="AM27" i="21"/>
  <c r="AX29" i="21"/>
  <c r="L28" i="21"/>
  <c r="AY27" i="21"/>
  <c r="AK28" i="21"/>
  <c r="AK27" i="21"/>
  <c r="AB28" i="21"/>
  <c r="AE27" i="21"/>
  <c r="AL29" i="21"/>
  <c r="AX27" i="21"/>
  <c r="AM26" i="21"/>
  <c r="AM31" i="21" s="1"/>
  <c r="AZ26" i="21"/>
  <c r="AZ31" i="21" s="1"/>
  <c r="M27" i="21"/>
  <c r="AO29" i="21"/>
  <c r="AE29" i="21"/>
  <c r="AY28" i="21"/>
  <c r="AM28" i="21"/>
  <c r="AG27" i="21"/>
  <c r="AZ27" i="21"/>
  <c r="AC29" i="21"/>
  <c r="AO28" i="21"/>
  <c r="AK29" i="21"/>
  <c r="O26" i="21"/>
  <c r="BB29" i="21"/>
  <c r="Q29" i="21"/>
  <c r="AL27" i="21"/>
  <c r="J44" i="21"/>
  <c r="C44" i="21"/>
  <c r="C47" i="24"/>
  <c r="U43" i="24"/>
  <c r="U47" i="24" s="1"/>
  <c r="R43" i="24"/>
  <c r="R47" i="24" s="1"/>
  <c r="B47" i="21"/>
  <c r="S43" i="24"/>
  <c r="S47" i="24" s="1"/>
  <c r="B47" i="24"/>
  <c r="D47" i="24"/>
  <c r="J42" i="21"/>
  <c r="J45" i="21"/>
  <c r="F43" i="21"/>
  <c r="T43" i="24"/>
  <c r="T47" i="24" s="1"/>
  <c r="J43" i="21"/>
  <c r="BE63" i="21"/>
  <c r="P63" i="21"/>
  <c r="AF63" i="21"/>
  <c r="AE63" i="21"/>
  <c r="BG63" i="21"/>
  <c r="AC63" i="21"/>
  <c r="AN63" i="21"/>
  <c r="G60" i="21"/>
  <c r="B60" i="21" s="1"/>
  <c r="N33" i="1" s="1"/>
  <c r="D60" i="24" s="1"/>
  <c r="B60" i="24" s="1"/>
  <c r="AD63" i="21"/>
  <c r="W63" i="21"/>
  <c r="AX63" i="21"/>
  <c r="AJ63" i="21"/>
  <c r="AH63" i="21"/>
  <c r="BB63" i="21"/>
  <c r="BC63" i="21"/>
  <c r="X63" i="21"/>
  <c r="BD63" i="21"/>
  <c r="Q63" i="21"/>
  <c r="AA63" i="21"/>
  <c r="BF63" i="21"/>
  <c r="L63" i="21"/>
  <c r="S63" i="21"/>
  <c r="AO63" i="21"/>
  <c r="AZ63" i="21"/>
  <c r="AW39" i="21"/>
  <c r="Y63" i="21"/>
  <c r="T63" i="21"/>
  <c r="Z63" i="21"/>
  <c r="O63" i="21"/>
  <c r="AQ63" i="21"/>
  <c r="N63" i="21"/>
  <c r="AY63" i="21"/>
  <c r="AV63" i="21"/>
  <c r="AL63" i="21"/>
  <c r="AW63" i="21"/>
  <c r="AG63" i="21"/>
  <c r="V63" i="21"/>
  <c r="R63" i="21"/>
  <c r="AP63" i="21"/>
  <c r="AK63" i="21"/>
  <c r="AH39" i="21"/>
  <c r="AB63" i="21"/>
  <c r="M63" i="21"/>
  <c r="U63" i="21"/>
  <c r="BE39" i="21"/>
  <c r="AM63" i="21"/>
  <c r="BA63" i="21"/>
  <c r="AJ39" i="21"/>
  <c r="AB39" i="21"/>
  <c r="BA39" i="21"/>
  <c r="AD39" i="21"/>
  <c r="Z39" i="21"/>
  <c r="BD39" i="21"/>
  <c r="W39" i="21"/>
  <c r="L39" i="21"/>
  <c r="X39" i="21"/>
  <c r="AO39" i="21"/>
  <c r="G36" i="21"/>
  <c r="B36" i="21" s="1"/>
  <c r="N21" i="1" s="1"/>
  <c r="D36" i="24" s="1"/>
  <c r="B36" i="24" s="1"/>
  <c r="AY39" i="21"/>
  <c r="S39" i="21"/>
  <c r="AC39" i="21"/>
  <c r="AS39" i="21"/>
  <c r="BC39" i="21"/>
  <c r="V39" i="21"/>
  <c r="T39" i="21"/>
  <c r="AU39" i="21"/>
  <c r="AL39" i="21"/>
  <c r="AK39" i="21"/>
  <c r="Y39" i="21"/>
  <c r="AX39" i="21"/>
  <c r="BB39" i="21"/>
  <c r="AP39" i="21"/>
  <c r="O39" i="21"/>
  <c r="AR39" i="21"/>
  <c r="AA39" i="21"/>
  <c r="AF39" i="21"/>
  <c r="BF39" i="21"/>
  <c r="P39" i="21"/>
  <c r="N39" i="21"/>
  <c r="AT39" i="21"/>
  <c r="AI39" i="21"/>
  <c r="BG39" i="21"/>
  <c r="R39" i="21"/>
  <c r="AE39" i="21"/>
  <c r="Q39" i="21"/>
  <c r="AN39" i="21"/>
  <c r="AZ39" i="21"/>
  <c r="U39" i="21"/>
  <c r="AG39" i="21"/>
  <c r="M39" i="21"/>
  <c r="AQ39" i="21"/>
  <c r="AM39" i="21"/>
  <c r="AV39" i="21"/>
  <c r="G28" i="21" a="1"/>
  <c r="AY31" i="21" l="1"/>
  <c r="BE76" i="21"/>
  <c r="AW74" i="21"/>
  <c r="BC75" i="21"/>
  <c r="BF74" i="21"/>
  <c r="BC76" i="21"/>
  <c r="BD74" i="21"/>
  <c r="BF75" i="21"/>
  <c r="BG76" i="21"/>
  <c r="BF77" i="21"/>
  <c r="BE74" i="21"/>
  <c r="BB75" i="21"/>
  <c r="BG75" i="21"/>
  <c r="BB74" i="21"/>
  <c r="AV74" i="21"/>
  <c r="AV79" i="21" s="1"/>
  <c r="BE77" i="21"/>
  <c r="BG74" i="21"/>
  <c r="BG77" i="21"/>
  <c r="BE75" i="21"/>
  <c r="BF76" i="21"/>
  <c r="BD76" i="21"/>
  <c r="BD75" i="21"/>
  <c r="BC77" i="21"/>
  <c r="BC74" i="21"/>
  <c r="BC79" i="21" s="1"/>
  <c r="BA74" i="21"/>
  <c r="BD77" i="21"/>
  <c r="AQ31" i="21"/>
  <c r="AU77" i="21"/>
  <c r="AU74" i="21"/>
  <c r="AU79" i="21" s="1"/>
  <c r="AT77" i="21"/>
  <c r="AU75" i="21"/>
  <c r="AN74" i="21"/>
  <c r="AN79" i="21" s="1"/>
  <c r="AO74" i="21"/>
  <c r="AK74" i="21"/>
  <c r="AQ75" i="21"/>
  <c r="AJ74" i="21"/>
  <c r="AT76" i="21"/>
  <c r="AR77" i="21"/>
  <c r="AT75" i="21"/>
  <c r="AN77" i="21"/>
  <c r="AR76" i="21"/>
  <c r="AU76" i="21"/>
  <c r="AS76" i="21"/>
  <c r="AP74" i="21"/>
  <c r="AS74" i="21"/>
  <c r="AS79" i="21" s="1"/>
  <c r="AR75" i="21"/>
  <c r="AQ74" i="21"/>
  <c r="AQ79" i="21" s="1"/>
  <c r="AS75" i="21"/>
  <c r="AP75" i="21"/>
  <c r="AQ76" i="21"/>
  <c r="AT74" i="21"/>
  <c r="AT79" i="21" s="1"/>
  <c r="AN75" i="21"/>
  <c r="AQ77" i="21"/>
  <c r="AR74" i="21"/>
  <c r="AR79" i="21" s="1"/>
  <c r="AS77" i="21"/>
  <c r="U76" i="21"/>
  <c r="P74" i="21"/>
  <c r="T77" i="21"/>
  <c r="U77" i="21"/>
  <c r="V76" i="21"/>
  <c r="R74" i="21"/>
  <c r="L74" i="21"/>
  <c r="L79" i="21" s="1"/>
  <c r="T74" i="21"/>
  <c r="T76" i="21"/>
  <c r="S75" i="21"/>
  <c r="W76" i="21"/>
  <c r="S76" i="21"/>
  <c r="S74" i="21"/>
  <c r="V74" i="21"/>
  <c r="U74" i="21"/>
  <c r="S77" i="21"/>
  <c r="W75" i="21"/>
  <c r="W74" i="21"/>
  <c r="W77" i="21"/>
  <c r="P75" i="21"/>
  <c r="M74" i="21"/>
  <c r="M79" i="21" s="1"/>
  <c r="T75" i="21"/>
  <c r="R75" i="21"/>
  <c r="P77" i="21"/>
  <c r="V77" i="21"/>
  <c r="Q74" i="21"/>
  <c r="V75" i="21"/>
  <c r="U75" i="21"/>
  <c r="F76" i="21"/>
  <c r="D79" i="21"/>
  <c r="C79" i="21" s="1"/>
  <c r="X31" i="21"/>
  <c r="BA31" i="21"/>
  <c r="Z75" i="21"/>
  <c r="N75" i="21"/>
  <c r="AX74" i="21"/>
  <c r="AX75" i="21"/>
  <c r="AN76" i="21"/>
  <c r="AX76" i="21"/>
  <c r="BB77" i="21"/>
  <c r="O75" i="21"/>
  <c r="AK77" i="21"/>
  <c r="AO77" i="21"/>
  <c r="P76" i="21"/>
  <c r="AG77" i="21"/>
  <c r="L75" i="21"/>
  <c r="AB76" i="21"/>
  <c r="L76" i="21"/>
  <c r="AM75" i="21"/>
  <c r="AZ74" i="21"/>
  <c r="AJ75" i="21"/>
  <c r="L77" i="21"/>
  <c r="N76" i="21"/>
  <c r="AC76" i="21"/>
  <c r="O74" i="21"/>
  <c r="AV76" i="21"/>
  <c r="AD77" i="21"/>
  <c r="AX77" i="21"/>
  <c r="AC77" i="21"/>
  <c r="AY75" i="21"/>
  <c r="AA77" i="21"/>
  <c r="M77" i="21"/>
  <c r="AH76" i="21"/>
  <c r="AM74" i="21"/>
  <c r="AV77" i="21"/>
  <c r="Z76" i="21"/>
  <c r="Q76" i="21"/>
  <c r="AG75" i="21"/>
  <c r="AJ77" i="21"/>
  <c r="AH77" i="21"/>
  <c r="AO76" i="21"/>
  <c r="N74" i="21"/>
  <c r="N79" i="21" s="1"/>
  <c r="Y77" i="21"/>
  <c r="Q77" i="21"/>
  <c r="BA77" i="21"/>
  <c r="AM77" i="21"/>
  <c r="X76" i="21"/>
  <c r="AA76" i="21"/>
  <c r="AZ75" i="21"/>
  <c r="AW76" i="21"/>
  <c r="BB76" i="21"/>
  <c r="AO75" i="21"/>
  <c r="AZ77" i="21"/>
  <c r="AD76" i="21"/>
  <c r="AW77" i="21"/>
  <c r="AJ76" i="21"/>
  <c r="AP76" i="21"/>
  <c r="AL75" i="21"/>
  <c r="Z77" i="21"/>
  <c r="Y75" i="21"/>
  <c r="AL77" i="21"/>
  <c r="Y76" i="21"/>
  <c r="AC75" i="21"/>
  <c r="Z74" i="21"/>
  <c r="AL76" i="21"/>
  <c r="AY76" i="21"/>
  <c r="AK75" i="21"/>
  <c r="X77" i="21"/>
  <c r="Q75" i="21"/>
  <c r="AY74" i="21"/>
  <c r="AW75" i="21"/>
  <c r="AE77" i="21"/>
  <c r="O76" i="21"/>
  <c r="AM76" i="21"/>
  <c r="BA75" i="21"/>
  <c r="AY77" i="21"/>
  <c r="M75" i="21"/>
  <c r="AA75" i="21"/>
  <c r="AZ76" i="21"/>
  <c r="M76" i="21"/>
  <c r="AA74" i="21"/>
  <c r="AA79" i="21" s="1"/>
  <c r="AP77" i="21"/>
  <c r="AL74" i="21"/>
  <c r="AV75" i="21"/>
  <c r="R76" i="21"/>
  <c r="O77" i="21"/>
  <c r="AE75" i="21"/>
  <c r="AE76" i="21"/>
  <c r="AF76" i="21"/>
  <c r="AG76" i="21"/>
  <c r="R77" i="21"/>
  <c r="AK76" i="21"/>
  <c r="N77" i="21"/>
  <c r="X75" i="21"/>
  <c r="AE74" i="21"/>
  <c r="BA76" i="21"/>
  <c r="BC31" i="21"/>
  <c r="AC31" i="21"/>
  <c r="L75" i="24"/>
  <c r="L79" i="24" s="1"/>
  <c r="Q75" i="24"/>
  <c r="Q79" i="24" s="1"/>
  <c r="N75" i="24"/>
  <c r="N79" i="24" s="1"/>
  <c r="M75" i="24"/>
  <c r="M79" i="24" s="1"/>
  <c r="AF77" i="21"/>
  <c r="AG74" i="21"/>
  <c r="AH74" i="21"/>
  <c r="AH79" i="21" s="1"/>
  <c r="AB77" i="21"/>
  <c r="X74" i="21"/>
  <c r="X79" i="21" s="1"/>
  <c r="AD74" i="21"/>
  <c r="AD79" i="21" s="1"/>
  <c r="AI75" i="21"/>
  <c r="AB75" i="21"/>
  <c r="AF74" i="21"/>
  <c r="AI74" i="21"/>
  <c r="AI79" i="21" s="1"/>
  <c r="AI76" i="21"/>
  <c r="Y74" i="21"/>
  <c r="AD75" i="21"/>
  <c r="AB74" i="21"/>
  <c r="AI77" i="21"/>
  <c r="AF75" i="21"/>
  <c r="AC74" i="21"/>
  <c r="AH75" i="21"/>
  <c r="AE31" i="21"/>
  <c r="G28" i="21"/>
  <c r="B28" i="21" s="1"/>
  <c r="K27" i="21" s="1"/>
  <c r="AD3" i="21"/>
  <c r="AI2" i="21"/>
  <c r="Y2" i="21"/>
  <c r="AF2" i="21"/>
  <c r="AB2" i="21"/>
  <c r="AD2" i="21"/>
  <c r="AH3" i="21"/>
  <c r="AG2" i="21"/>
  <c r="AI3" i="21"/>
  <c r="AF5" i="21"/>
  <c r="AI5" i="21"/>
  <c r="AH2" i="21"/>
  <c r="AB3" i="21"/>
  <c r="X2" i="21"/>
  <c r="AC2" i="21"/>
  <c r="AC7" i="21" s="1"/>
  <c r="AI4" i="21"/>
  <c r="AF3" i="21"/>
  <c r="AB5" i="21"/>
  <c r="Q19" i="24"/>
  <c r="Q23" i="24" s="1"/>
  <c r="N19" i="24"/>
  <c r="N23" i="24" s="1"/>
  <c r="M19" i="24"/>
  <c r="M23" i="24" s="1"/>
  <c r="L19" i="24"/>
  <c r="L23" i="24" s="1"/>
  <c r="AG31" i="21"/>
  <c r="F4" i="21"/>
  <c r="D7" i="21"/>
  <c r="C7" i="21" s="1"/>
  <c r="L31" i="21"/>
  <c r="AK42" i="21"/>
  <c r="AR44" i="21"/>
  <c r="AS44" i="21"/>
  <c r="AU44" i="21"/>
  <c r="AQ43" i="21"/>
  <c r="AT43" i="21"/>
  <c r="AT42" i="21"/>
  <c r="AT47" i="21" s="1"/>
  <c r="AN43" i="21"/>
  <c r="AQ42" i="21"/>
  <c r="AU45" i="21"/>
  <c r="AT44" i="21"/>
  <c r="AQ45" i="21"/>
  <c r="AO42" i="21"/>
  <c r="AR42" i="21"/>
  <c r="AR47" i="21" s="1"/>
  <c r="AS45" i="21"/>
  <c r="AT45" i="21"/>
  <c r="AP42" i="21"/>
  <c r="AN42" i="21"/>
  <c r="AJ42" i="21"/>
  <c r="AS42" i="21"/>
  <c r="AS47" i="21" s="1"/>
  <c r="AR45" i="21"/>
  <c r="AR43" i="21"/>
  <c r="AP43" i="21"/>
  <c r="AU42" i="21"/>
  <c r="AU47" i="21" s="1"/>
  <c r="AN45" i="21"/>
  <c r="AU43" i="21"/>
  <c r="AS43" i="21"/>
  <c r="AQ44" i="21"/>
  <c r="P13" i="21"/>
  <c r="S10" i="21"/>
  <c r="W13" i="21"/>
  <c r="T12" i="21"/>
  <c r="L10" i="21"/>
  <c r="R11" i="21"/>
  <c r="V12" i="21"/>
  <c r="Q10" i="21"/>
  <c r="V11" i="21"/>
  <c r="T11" i="21"/>
  <c r="P11" i="21"/>
  <c r="U13" i="21"/>
  <c r="S13" i="21"/>
  <c r="P10" i="21"/>
  <c r="W12" i="21"/>
  <c r="U10" i="21"/>
  <c r="W10" i="21"/>
  <c r="V10" i="21"/>
  <c r="W11" i="21"/>
  <c r="S12" i="21"/>
  <c r="M10" i="21"/>
  <c r="T10" i="21"/>
  <c r="R10" i="21"/>
  <c r="U12" i="21"/>
  <c r="T13" i="21"/>
  <c r="V13" i="21"/>
  <c r="S11" i="21"/>
  <c r="U11" i="21"/>
  <c r="AP31" i="21"/>
  <c r="D15" i="21"/>
  <c r="C15" i="21" s="1"/>
  <c r="F12" i="21"/>
  <c r="AA31" i="21"/>
  <c r="BF31" i="21"/>
  <c r="F52" i="21"/>
  <c r="D55" i="21"/>
  <c r="C55" i="21" s="1"/>
  <c r="Y42" i="21"/>
  <c r="Y47" i="21" s="1"/>
  <c r="AG42" i="21"/>
  <c r="AG47" i="21" s="1"/>
  <c r="AH43" i="21"/>
  <c r="X42" i="21"/>
  <c r="AI43" i="21"/>
  <c r="AB43" i="21"/>
  <c r="AI44" i="21"/>
  <c r="AI42" i="21"/>
  <c r="AI47" i="21" s="1"/>
  <c r="AD43" i="21"/>
  <c r="AF45" i="21"/>
  <c r="AD42" i="21"/>
  <c r="AF42" i="21"/>
  <c r="AB42" i="21"/>
  <c r="AC42" i="21"/>
  <c r="AH42" i="21"/>
  <c r="AI45" i="21"/>
  <c r="AB45" i="21"/>
  <c r="AF43" i="21"/>
  <c r="L67" i="24"/>
  <c r="L71" i="24" s="1"/>
  <c r="M67" i="24"/>
  <c r="M71" i="24" s="1"/>
  <c r="N67" i="24"/>
  <c r="N71" i="24" s="1"/>
  <c r="Q67" i="24"/>
  <c r="Q71" i="24" s="1"/>
  <c r="D47" i="21"/>
  <c r="C47" i="21" s="1"/>
  <c r="F44" i="21"/>
  <c r="AW31" i="21"/>
  <c r="S31" i="21"/>
  <c r="T31" i="21"/>
  <c r="BC42" i="21"/>
  <c r="BB42" i="21"/>
  <c r="BD42" i="21"/>
  <c r="BF45" i="21"/>
  <c r="BE43" i="21"/>
  <c r="BF44" i="21"/>
  <c r="BD44" i="21"/>
  <c r="BG43" i="21"/>
  <c r="BG44" i="21"/>
  <c r="BE45" i="21"/>
  <c r="BE42" i="21"/>
  <c r="BA42" i="21"/>
  <c r="BC44" i="21"/>
  <c r="BC43" i="21"/>
  <c r="BG45" i="21"/>
  <c r="BD45" i="21"/>
  <c r="BC45" i="21"/>
  <c r="BF43" i="21"/>
  <c r="BD43" i="21"/>
  <c r="AW42" i="21"/>
  <c r="BG42" i="21"/>
  <c r="BB43" i="21"/>
  <c r="AV42" i="21"/>
  <c r="BE44" i="21"/>
  <c r="BF42" i="21"/>
  <c r="BF47" i="21" s="1"/>
  <c r="AU31" i="21"/>
  <c r="AN31" i="21"/>
  <c r="D71" i="21"/>
  <c r="C71" i="21" s="1"/>
  <c r="F68" i="21"/>
  <c r="AV31" i="21"/>
  <c r="X50" i="21"/>
  <c r="AF50" i="21"/>
  <c r="AD50" i="21"/>
  <c r="AI52" i="21"/>
  <c r="AB51" i="21"/>
  <c r="AI53" i="21"/>
  <c r="AB53" i="21"/>
  <c r="AH51" i="21"/>
  <c r="AI51" i="21"/>
  <c r="Y50" i="21"/>
  <c r="AD51" i="21"/>
  <c r="AG50" i="21"/>
  <c r="AH50" i="21"/>
  <c r="AC50" i="21"/>
  <c r="AB50" i="21"/>
  <c r="AF53" i="21"/>
  <c r="AI50" i="21"/>
  <c r="AI55" i="21" s="1"/>
  <c r="AF51" i="21"/>
  <c r="AH67" i="21"/>
  <c r="AI68" i="21"/>
  <c r="AI69" i="21"/>
  <c r="AB66" i="21"/>
  <c r="AG66" i="21"/>
  <c r="AH66" i="21"/>
  <c r="AH71" i="21" s="1"/>
  <c r="AB67" i="21"/>
  <c r="AB69" i="21"/>
  <c r="AF69" i="21"/>
  <c r="AC66" i="21"/>
  <c r="AC71" i="21" s="1"/>
  <c r="AD67" i="21"/>
  <c r="X66" i="21"/>
  <c r="AD66" i="21"/>
  <c r="AI67" i="21"/>
  <c r="AF66" i="21"/>
  <c r="AF67" i="21"/>
  <c r="Y66" i="21"/>
  <c r="AI66" i="21"/>
  <c r="AI71" i="21" s="1"/>
  <c r="BB12" i="21"/>
  <c r="AO11" i="21"/>
  <c r="Y11" i="21"/>
  <c r="AK13" i="21"/>
  <c r="AW11" i="21"/>
  <c r="Q11" i="21"/>
  <c r="Q12" i="21"/>
  <c r="AL10" i="21"/>
  <c r="AV11" i="21"/>
  <c r="AZ11" i="21"/>
  <c r="AP13" i="21"/>
  <c r="M12" i="21"/>
  <c r="O10" i="21"/>
  <c r="AX13" i="21"/>
  <c r="AJ13" i="21"/>
  <c r="X11" i="21"/>
  <c r="AO13" i="21"/>
  <c r="L11" i="21"/>
  <c r="AG13" i="21"/>
  <c r="L12" i="21"/>
  <c r="AM13" i="21"/>
  <c r="AN12" i="21"/>
  <c r="AC11" i="21"/>
  <c r="AY11" i="21"/>
  <c r="AJ11" i="21"/>
  <c r="AE11" i="21"/>
  <c r="AE13" i="21"/>
  <c r="N11" i="21"/>
  <c r="AV12" i="21"/>
  <c r="AK11" i="21"/>
  <c r="Z11" i="21"/>
  <c r="AH13" i="21"/>
  <c r="AY12" i="21"/>
  <c r="O12" i="21"/>
  <c r="AX12" i="21"/>
  <c r="BA13" i="21"/>
  <c r="AJ12" i="21"/>
  <c r="AX10" i="21"/>
  <c r="AX15" i="21" s="1"/>
  <c r="BB13" i="21"/>
  <c r="AC13" i="21"/>
  <c r="Z10" i="21"/>
  <c r="AL11" i="21"/>
  <c r="AZ12" i="21"/>
  <c r="AY10" i="21"/>
  <c r="BA12" i="21"/>
  <c r="AB12" i="21"/>
  <c r="Z12" i="21"/>
  <c r="AE10" i="21"/>
  <c r="O11" i="21"/>
  <c r="BA11" i="21"/>
  <c r="N13" i="21"/>
  <c r="AO12" i="21"/>
  <c r="AW13" i="21"/>
  <c r="Z13" i="21"/>
  <c r="P12" i="21"/>
  <c r="AF12" i="21"/>
  <c r="AL12" i="21"/>
  <c r="AA11" i="21"/>
  <c r="AM11" i="21"/>
  <c r="Y12" i="21"/>
  <c r="R12" i="21"/>
  <c r="Y13" i="21"/>
  <c r="X12" i="21"/>
  <c r="AH12" i="21"/>
  <c r="AZ10" i="21"/>
  <c r="AA13" i="21"/>
  <c r="N12" i="21"/>
  <c r="M11" i="21"/>
  <c r="AA12" i="21"/>
  <c r="AK12" i="21"/>
  <c r="AD12" i="21"/>
  <c r="R13" i="21"/>
  <c r="AV13" i="21"/>
  <c r="AA10" i="21"/>
  <c r="AD13" i="21"/>
  <c r="AZ13" i="21"/>
  <c r="AX11" i="21"/>
  <c r="N10" i="21"/>
  <c r="AM12" i="21"/>
  <c r="AP12" i="21"/>
  <c r="AL13" i="21"/>
  <c r="Q13" i="21"/>
  <c r="AY13" i="21"/>
  <c r="AG12" i="21"/>
  <c r="AW12" i="21"/>
  <c r="M13" i="21"/>
  <c r="AE12" i="21"/>
  <c r="X13" i="21"/>
  <c r="AM10" i="21"/>
  <c r="O13" i="21"/>
  <c r="L13" i="21"/>
  <c r="AC12" i="21"/>
  <c r="AG11" i="21"/>
  <c r="R31" i="21"/>
  <c r="M18" i="21"/>
  <c r="W18" i="21"/>
  <c r="P21" i="21"/>
  <c r="R18" i="21"/>
  <c r="V20" i="21"/>
  <c r="V18" i="21"/>
  <c r="W19" i="21"/>
  <c r="U18" i="21"/>
  <c r="T20" i="21"/>
  <c r="U21" i="21"/>
  <c r="S19" i="21"/>
  <c r="U20" i="21"/>
  <c r="W20" i="21"/>
  <c r="Q18" i="21"/>
  <c r="T21" i="21"/>
  <c r="S18" i="21"/>
  <c r="S20" i="21"/>
  <c r="V19" i="21"/>
  <c r="R19" i="21"/>
  <c r="P18" i="21"/>
  <c r="T19" i="21"/>
  <c r="S21" i="21"/>
  <c r="T18" i="21"/>
  <c r="L18" i="21"/>
  <c r="U19" i="21"/>
  <c r="W21" i="21"/>
  <c r="V21" i="21"/>
  <c r="P19" i="21"/>
  <c r="AB10" i="21"/>
  <c r="AI11" i="21"/>
  <c r="AH10" i="21"/>
  <c r="X10" i="21"/>
  <c r="AG10" i="21"/>
  <c r="AI13" i="21"/>
  <c r="AD11" i="21"/>
  <c r="AF13" i="21"/>
  <c r="AC10" i="21"/>
  <c r="AB11" i="21"/>
  <c r="AD10" i="21"/>
  <c r="AI10" i="21"/>
  <c r="AI12" i="21"/>
  <c r="AB13" i="21"/>
  <c r="AH11" i="21"/>
  <c r="Y10" i="21"/>
  <c r="AF11" i="21"/>
  <c r="AF10" i="21"/>
  <c r="U31" i="21"/>
  <c r="Q51" i="24"/>
  <c r="Q55" i="24" s="1"/>
  <c r="M51" i="24"/>
  <c r="M55" i="24" s="1"/>
  <c r="N51" i="24"/>
  <c r="N55" i="24" s="1"/>
  <c r="L51" i="24"/>
  <c r="L55" i="24" s="1"/>
  <c r="BG2" i="21"/>
  <c r="BG5" i="21"/>
  <c r="BB2" i="21"/>
  <c r="BG3" i="21"/>
  <c r="BC2" i="21"/>
  <c r="BG4" i="21"/>
  <c r="BF5" i="21"/>
  <c r="BC3" i="21"/>
  <c r="BE3" i="21"/>
  <c r="BD4" i="21"/>
  <c r="BD2" i="21"/>
  <c r="AV2" i="21"/>
  <c r="BF3" i="21"/>
  <c r="BF2" i="21"/>
  <c r="BD3" i="21"/>
  <c r="BB3" i="21"/>
  <c r="AW2" i="21"/>
  <c r="BA2" i="21"/>
  <c r="BD5" i="21"/>
  <c r="BC5" i="21"/>
  <c r="BE2" i="21"/>
  <c r="BE4" i="21"/>
  <c r="BE5" i="21"/>
  <c r="BC4" i="21"/>
  <c r="BF4" i="21"/>
  <c r="Z43" i="21"/>
  <c r="Y44" i="21"/>
  <c r="AC43" i="21"/>
  <c r="O42" i="21"/>
  <c r="AJ43" i="21"/>
  <c r="Y43" i="21"/>
  <c r="AV43" i="21"/>
  <c r="AZ44" i="21"/>
  <c r="Z44" i="21"/>
  <c r="Z42" i="21"/>
  <c r="AY44" i="21"/>
  <c r="AP45" i="21"/>
  <c r="AM44" i="21"/>
  <c r="AM45" i="21"/>
  <c r="AC44" i="21"/>
  <c r="AA43" i="21"/>
  <c r="AZ43" i="21"/>
  <c r="AD45" i="21"/>
  <c r="AL42" i="21"/>
  <c r="L44" i="21"/>
  <c r="Z45" i="21"/>
  <c r="AG43" i="21"/>
  <c r="N42" i="21"/>
  <c r="AW44" i="21"/>
  <c r="R45" i="21"/>
  <c r="M44" i="21"/>
  <c r="AA45" i="21"/>
  <c r="X44" i="21"/>
  <c r="AP44" i="21"/>
  <c r="M45" i="21"/>
  <c r="AK45" i="21"/>
  <c r="AZ45" i="21"/>
  <c r="BB45" i="21"/>
  <c r="AH44" i="21"/>
  <c r="AF44" i="21"/>
  <c r="BA45" i="21"/>
  <c r="X43" i="21"/>
  <c r="AB44" i="21"/>
  <c r="P44" i="21"/>
  <c r="AJ44" i="21"/>
  <c r="AO45" i="21"/>
  <c r="O44" i="21"/>
  <c r="AO43" i="21"/>
  <c r="AL44" i="21"/>
  <c r="BA43" i="21"/>
  <c r="AH45" i="21"/>
  <c r="AL45" i="21"/>
  <c r="M43" i="21"/>
  <c r="AD44" i="21"/>
  <c r="AA42" i="21"/>
  <c r="AY42" i="21"/>
  <c r="AX44" i="21"/>
  <c r="AL43" i="21"/>
  <c r="AX43" i="21"/>
  <c r="AN44" i="21"/>
  <c r="O43" i="21"/>
  <c r="AK44" i="21"/>
  <c r="AX42" i="21"/>
  <c r="AC45" i="21"/>
  <c r="BB44" i="21"/>
  <c r="AJ45" i="21"/>
  <c r="Q43" i="21"/>
  <c r="AE44" i="21"/>
  <c r="AM42" i="21"/>
  <c r="N43" i="21"/>
  <c r="X45" i="21"/>
  <c r="AG44" i="21"/>
  <c r="AW45" i="21"/>
  <c r="L43" i="21"/>
  <c r="AK43" i="21"/>
  <c r="AM43" i="21"/>
  <c r="O45" i="21"/>
  <c r="AG45" i="21"/>
  <c r="AY45" i="21"/>
  <c r="AY43" i="21"/>
  <c r="AE43" i="21"/>
  <c r="AV44" i="21"/>
  <c r="AW43" i="21"/>
  <c r="AX45" i="21"/>
  <c r="AV45" i="21"/>
  <c r="L45" i="21"/>
  <c r="Y45" i="21"/>
  <c r="AA44" i="21"/>
  <c r="Q45" i="21"/>
  <c r="Q44" i="21"/>
  <c r="N44" i="21"/>
  <c r="AE45" i="21"/>
  <c r="AO44" i="21"/>
  <c r="BA44" i="21"/>
  <c r="N45" i="21"/>
  <c r="R44" i="21"/>
  <c r="AZ42" i="21"/>
  <c r="AE42" i="21"/>
  <c r="AC18" i="21"/>
  <c r="AC23" i="21" s="1"/>
  <c r="AF18" i="21"/>
  <c r="AB18" i="21"/>
  <c r="AB21" i="21"/>
  <c r="AD19" i="21"/>
  <c r="AF19" i="21"/>
  <c r="AH18" i="21"/>
  <c r="AH19" i="21"/>
  <c r="AG18" i="21"/>
  <c r="AI18" i="21"/>
  <c r="AI19" i="21"/>
  <c r="Y18" i="21"/>
  <c r="AB19" i="21"/>
  <c r="AI20" i="21"/>
  <c r="AF21" i="21"/>
  <c r="AD18" i="21"/>
  <c r="AD23" i="21" s="1"/>
  <c r="X18" i="21"/>
  <c r="X23" i="21" s="1"/>
  <c r="AI21" i="21"/>
  <c r="AF31" i="21"/>
  <c r="U69" i="21"/>
  <c r="R67" i="21"/>
  <c r="U66" i="21"/>
  <c r="W67" i="21"/>
  <c r="T68" i="21"/>
  <c r="V67" i="21"/>
  <c r="R66" i="21"/>
  <c r="R71" i="21" s="1"/>
  <c r="Q66" i="21"/>
  <c r="S68" i="21"/>
  <c r="U68" i="21"/>
  <c r="W66" i="21"/>
  <c r="P69" i="21"/>
  <c r="W69" i="21"/>
  <c r="T66" i="21"/>
  <c r="T71" i="21" s="1"/>
  <c r="S69" i="21"/>
  <c r="M66" i="21"/>
  <c r="P67" i="21"/>
  <c r="S66" i="21"/>
  <c r="L66" i="21"/>
  <c r="T69" i="21"/>
  <c r="T67" i="21"/>
  <c r="U67" i="21"/>
  <c r="V69" i="21"/>
  <c r="V68" i="21"/>
  <c r="W68" i="21"/>
  <c r="V66" i="21"/>
  <c r="V71" i="21" s="1"/>
  <c r="S67" i="21"/>
  <c r="P66" i="21"/>
  <c r="Q11" i="24"/>
  <c r="Q15" i="24" s="1"/>
  <c r="N11" i="24"/>
  <c r="N15" i="24" s="1"/>
  <c r="M11" i="24"/>
  <c r="M15" i="24" s="1"/>
  <c r="L11" i="24"/>
  <c r="L15" i="24" s="1"/>
  <c r="P5" i="21"/>
  <c r="W4" i="21"/>
  <c r="V3" i="21"/>
  <c r="T5" i="21"/>
  <c r="P2" i="21"/>
  <c r="T4" i="21"/>
  <c r="S3" i="21"/>
  <c r="L2" i="21"/>
  <c r="V2" i="21"/>
  <c r="R3" i="21"/>
  <c r="V4" i="21"/>
  <c r="W2" i="21"/>
  <c r="U5" i="21"/>
  <c r="U3" i="21"/>
  <c r="S5" i="21"/>
  <c r="T3" i="21"/>
  <c r="U4" i="21"/>
  <c r="R2" i="21"/>
  <c r="U2" i="21"/>
  <c r="S2" i="21"/>
  <c r="S4" i="21"/>
  <c r="W3" i="21"/>
  <c r="M2" i="21"/>
  <c r="V5" i="21"/>
  <c r="T2" i="21"/>
  <c r="Q2" i="21"/>
  <c r="P3" i="21"/>
  <c r="W5" i="21"/>
  <c r="AS53" i="21"/>
  <c r="AT53" i="21"/>
  <c r="AO50" i="21"/>
  <c r="AU50" i="21"/>
  <c r="AU55" i="21" s="1"/>
  <c r="AN50" i="21"/>
  <c r="AS52" i="21"/>
  <c r="AR50" i="21"/>
  <c r="AR55" i="21" s="1"/>
  <c r="AQ50" i="21"/>
  <c r="AS50" i="21"/>
  <c r="AS55" i="21" s="1"/>
  <c r="AK50" i="21"/>
  <c r="AP51" i="21"/>
  <c r="AN53" i="21"/>
  <c r="AP50" i="21"/>
  <c r="AQ52" i="21"/>
  <c r="AR53" i="21"/>
  <c r="AQ53" i="21"/>
  <c r="AU51" i="21"/>
  <c r="AU53" i="21"/>
  <c r="AJ50" i="21"/>
  <c r="AN51" i="21"/>
  <c r="AT51" i="21"/>
  <c r="AR51" i="21"/>
  <c r="AT50" i="21"/>
  <c r="AT55" i="21" s="1"/>
  <c r="AR52" i="21"/>
  <c r="AS51" i="21"/>
  <c r="AT52" i="21"/>
  <c r="AU52" i="21"/>
  <c r="AQ51" i="21"/>
  <c r="BE13" i="21"/>
  <c r="AV10" i="21"/>
  <c r="BF12" i="21"/>
  <c r="BE11" i="21"/>
  <c r="BC12" i="21"/>
  <c r="BD11" i="21"/>
  <c r="BB10" i="21"/>
  <c r="BG10" i="21"/>
  <c r="BB11" i="21"/>
  <c r="BE12" i="21"/>
  <c r="BG11" i="21"/>
  <c r="BD10" i="21"/>
  <c r="BC11" i="21"/>
  <c r="BC13" i="21"/>
  <c r="BD13" i="21"/>
  <c r="BF10" i="21"/>
  <c r="BD12" i="21"/>
  <c r="BE10" i="21"/>
  <c r="BF11" i="21"/>
  <c r="BG13" i="21"/>
  <c r="BA10" i="21"/>
  <c r="BA15" i="21" s="1"/>
  <c r="BC10" i="21"/>
  <c r="BC15" i="21" s="1"/>
  <c r="BF13" i="21"/>
  <c r="AW10" i="21"/>
  <c r="BG12" i="21"/>
  <c r="W53" i="21"/>
  <c r="U51" i="21"/>
  <c r="V53" i="21"/>
  <c r="R50" i="21"/>
  <c r="W52" i="21"/>
  <c r="P50" i="21"/>
  <c r="W50" i="21"/>
  <c r="W55" i="21" s="1"/>
  <c r="T50" i="21"/>
  <c r="S50" i="21"/>
  <c r="U53" i="21"/>
  <c r="U50" i="21"/>
  <c r="U55" i="21" s="1"/>
  <c r="T51" i="21"/>
  <c r="S51" i="21"/>
  <c r="T53" i="21"/>
  <c r="V50" i="21"/>
  <c r="L50" i="21"/>
  <c r="S53" i="21"/>
  <c r="R51" i="21"/>
  <c r="S52" i="21"/>
  <c r="W51" i="21"/>
  <c r="M50" i="21"/>
  <c r="Q50" i="21"/>
  <c r="P53" i="21"/>
  <c r="V51" i="21"/>
  <c r="U52" i="21"/>
  <c r="T52" i="21"/>
  <c r="V52" i="21"/>
  <c r="P51" i="21"/>
  <c r="BD31" i="21"/>
  <c r="AH31" i="21"/>
  <c r="Q3" i="24"/>
  <c r="Q7" i="24" s="1"/>
  <c r="M3" i="24"/>
  <c r="M7" i="24" s="1"/>
  <c r="L3" i="24"/>
  <c r="L7" i="24" s="1"/>
  <c r="N3" i="24"/>
  <c r="N7" i="24" s="1"/>
  <c r="BG31" i="21"/>
  <c r="AS20" i="21"/>
  <c r="AS18" i="21"/>
  <c r="AT18" i="21"/>
  <c r="AR20" i="21"/>
  <c r="AP19" i="21"/>
  <c r="AT20" i="21"/>
  <c r="AO18" i="21"/>
  <c r="AU20" i="21"/>
  <c r="AN21" i="21"/>
  <c r="AU19" i="21"/>
  <c r="AJ18" i="21"/>
  <c r="AS19" i="21"/>
  <c r="AK18" i="21"/>
  <c r="AN18" i="21"/>
  <c r="AU18" i="21"/>
  <c r="AT21" i="21"/>
  <c r="AS21" i="21"/>
  <c r="AR19" i="21"/>
  <c r="AP18" i="21"/>
  <c r="AQ19" i="21"/>
  <c r="AU21" i="21"/>
  <c r="AQ21" i="21"/>
  <c r="AR21" i="21"/>
  <c r="AN19" i="21"/>
  <c r="AR18" i="21"/>
  <c r="AR23" i="21" s="1"/>
  <c r="AQ20" i="21"/>
  <c r="AT19" i="21"/>
  <c r="AQ18" i="21"/>
  <c r="AS66" i="21"/>
  <c r="AS71" i="21" s="1"/>
  <c r="AU66" i="21"/>
  <c r="AU71" i="21" s="1"/>
  <c r="AS67" i="21"/>
  <c r="AN69" i="21"/>
  <c r="AR66" i="21"/>
  <c r="AR71" i="21" s="1"/>
  <c r="AR69" i="21"/>
  <c r="AU69" i="21"/>
  <c r="AT69" i="21"/>
  <c r="AQ68" i="21"/>
  <c r="AQ67" i="21"/>
  <c r="AK66" i="21"/>
  <c r="AT66" i="21"/>
  <c r="AT71" i="21" s="1"/>
  <c r="AR68" i="21"/>
  <c r="AQ66" i="21"/>
  <c r="AQ71" i="21" s="1"/>
  <c r="AN66" i="21"/>
  <c r="AU67" i="21"/>
  <c r="AS69" i="21"/>
  <c r="AQ69" i="21"/>
  <c r="AP67" i="21"/>
  <c r="AP66" i="21"/>
  <c r="AU68" i="21"/>
  <c r="AS68" i="21"/>
  <c r="AT68" i="21"/>
  <c r="AN67" i="21"/>
  <c r="AR67" i="21"/>
  <c r="AT67" i="21"/>
  <c r="AJ66" i="21"/>
  <c r="AO66" i="21"/>
  <c r="V31" i="21"/>
  <c r="F20" i="21"/>
  <c r="D23" i="21"/>
  <c r="C23" i="21" s="1"/>
  <c r="AL31" i="21"/>
  <c r="Y31" i="21"/>
  <c r="O31" i="21"/>
  <c r="R53" i="21"/>
  <c r="AH53" i="21"/>
  <c r="BA53" i="21"/>
  <c r="AH52" i="21"/>
  <c r="AK51" i="21"/>
  <c r="AF52" i="21"/>
  <c r="AO52" i="21"/>
  <c r="AW52" i="21"/>
  <c r="AB52" i="21"/>
  <c r="AE51" i="21"/>
  <c r="AX51" i="21"/>
  <c r="AP53" i="21"/>
  <c r="O51" i="21"/>
  <c r="O52" i="21"/>
  <c r="O53" i="21"/>
  <c r="X52" i="21"/>
  <c r="BA52" i="21"/>
  <c r="AC52" i="21"/>
  <c r="AM50" i="21"/>
  <c r="L53" i="21"/>
  <c r="M53" i="21"/>
  <c r="L52" i="21"/>
  <c r="AM52" i="21"/>
  <c r="AA53" i="21"/>
  <c r="AL53" i="21"/>
  <c r="N51" i="21"/>
  <c r="AL50" i="21"/>
  <c r="AG51" i="21"/>
  <c r="O50" i="21"/>
  <c r="P52" i="21"/>
  <c r="AA51" i="21"/>
  <c r="BB53" i="21"/>
  <c r="AC51" i="21"/>
  <c r="AZ51" i="21"/>
  <c r="AM53" i="21"/>
  <c r="AX53" i="21"/>
  <c r="AW53" i="21"/>
  <c r="R52" i="21"/>
  <c r="AP52" i="21"/>
  <c r="AY50" i="21"/>
  <c r="N53" i="21"/>
  <c r="Z50" i="21"/>
  <c r="M51" i="21"/>
  <c r="AZ53" i="21"/>
  <c r="AX52" i="21"/>
  <c r="AW51" i="21"/>
  <c r="AO53" i="21"/>
  <c r="AM51" i="21"/>
  <c r="AG53" i="21"/>
  <c r="AJ52" i="21"/>
  <c r="N50" i="21"/>
  <c r="AC53" i="21"/>
  <c r="N52" i="21"/>
  <c r="M52" i="21"/>
  <c r="AJ51" i="21"/>
  <c r="Z51" i="21"/>
  <c r="AL51" i="21"/>
  <c r="AZ50" i="21"/>
  <c r="L51" i="21"/>
  <c r="AK52" i="21"/>
  <c r="Y53" i="21"/>
  <c r="AV52" i="21"/>
  <c r="AE50" i="21"/>
  <c r="X53" i="21"/>
  <c r="AV53" i="21"/>
  <c r="AY53" i="21"/>
  <c r="AK53" i="21"/>
  <c r="AJ53" i="21"/>
  <c r="AG52" i="21"/>
  <c r="AY52" i="21"/>
  <c r="AA52" i="21"/>
  <c r="AA50" i="21"/>
  <c r="AX50" i="21"/>
  <c r="Z52" i="21"/>
  <c r="Q53" i="21"/>
  <c r="AE52" i="21"/>
  <c r="AL52" i="21"/>
  <c r="AV51" i="21"/>
  <c r="BA51" i="21"/>
  <c r="Q52" i="21"/>
  <c r="Z53" i="21"/>
  <c r="Q51" i="21"/>
  <c r="AD52" i="21"/>
  <c r="AN52" i="21"/>
  <c r="AD53" i="21"/>
  <c r="AO51" i="21"/>
  <c r="AZ52" i="21"/>
  <c r="BB52" i="21"/>
  <c r="X51" i="21"/>
  <c r="AY51" i="21"/>
  <c r="Y51" i="21"/>
  <c r="Y52" i="21"/>
  <c r="AE53" i="21"/>
  <c r="BF67" i="21"/>
  <c r="BD66" i="21"/>
  <c r="BE69" i="21"/>
  <c r="BE68" i="21"/>
  <c r="BD67" i="21"/>
  <c r="BE66" i="21"/>
  <c r="BF68" i="21"/>
  <c r="BD68" i="21"/>
  <c r="BG69" i="21"/>
  <c r="BD69" i="21"/>
  <c r="BF66" i="21"/>
  <c r="BF69" i="21"/>
  <c r="BG66" i="21"/>
  <c r="BG68" i="21"/>
  <c r="BG67" i="21"/>
  <c r="BE67" i="21"/>
  <c r="BC67" i="21"/>
  <c r="AW66" i="21"/>
  <c r="BB66" i="21"/>
  <c r="BC68" i="21"/>
  <c r="AV66" i="21"/>
  <c r="BB67" i="21"/>
  <c r="BC66" i="21"/>
  <c r="BC69" i="21"/>
  <c r="BA66" i="21"/>
  <c r="BA71" i="21" s="1"/>
  <c r="BE31" i="21"/>
  <c r="BB20" i="21"/>
  <c r="Q19" i="21"/>
  <c r="AK21" i="21"/>
  <c r="AJ20" i="21"/>
  <c r="Y19" i="21"/>
  <c r="M19" i="21"/>
  <c r="AP21" i="21"/>
  <c r="AJ19" i="21"/>
  <c r="BB21" i="21"/>
  <c r="AK20" i="21"/>
  <c r="N19" i="21"/>
  <c r="AD21" i="21"/>
  <c r="Q20" i="21"/>
  <c r="Z19" i="21"/>
  <c r="R21" i="21"/>
  <c r="AV20" i="21"/>
  <c r="R20" i="21"/>
  <c r="AJ21" i="21"/>
  <c r="AL18" i="21"/>
  <c r="AM21" i="21"/>
  <c r="AP20" i="21"/>
  <c r="Y21" i="21"/>
  <c r="AO19" i="21"/>
  <c r="AH21" i="21"/>
  <c r="M21" i="21"/>
  <c r="AC19" i="21"/>
  <c r="Z18" i="21"/>
  <c r="AA19" i="21"/>
  <c r="AV19" i="21"/>
  <c r="L20" i="21"/>
  <c r="Z21" i="21"/>
  <c r="AD20" i="21"/>
  <c r="X21" i="21"/>
  <c r="O21" i="21"/>
  <c r="AZ18" i="21"/>
  <c r="AZ19" i="21"/>
  <c r="L21" i="21"/>
  <c r="AH20" i="21"/>
  <c r="AK19" i="21"/>
  <c r="AM20" i="21"/>
  <c r="AE20" i="21"/>
  <c r="AE19" i="21"/>
  <c r="AC20" i="21"/>
  <c r="AM19" i="21"/>
  <c r="AY19" i="21"/>
  <c r="AM18" i="21"/>
  <c r="AL20" i="21"/>
  <c r="AW19" i="21"/>
  <c r="AX18" i="21"/>
  <c r="O19" i="21"/>
  <c r="AL21" i="21"/>
  <c r="AZ21" i="21"/>
  <c r="AA18" i="21"/>
  <c r="N21" i="21"/>
  <c r="AN20" i="21"/>
  <c r="Y20" i="21"/>
  <c r="AY20" i="21"/>
  <c r="BA20" i="21"/>
  <c r="AA20" i="21"/>
  <c r="AY21" i="21"/>
  <c r="AE21" i="21"/>
  <c r="N20" i="21"/>
  <c r="AO21" i="21"/>
  <c r="AO20" i="21"/>
  <c r="AL19" i="21"/>
  <c r="AW20" i="21"/>
  <c r="AY18" i="21"/>
  <c r="AY23" i="21" s="1"/>
  <c r="AG21" i="21"/>
  <c r="M20" i="21"/>
  <c r="O18" i="21"/>
  <c r="BA21" i="21"/>
  <c r="AX21" i="21"/>
  <c r="AF20" i="21"/>
  <c r="Z20" i="21"/>
  <c r="AX20" i="21"/>
  <c r="AG19" i="21"/>
  <c r="BA19" i="21"/>
  <c r="X20" i="21"/>
  <c r="AW21" i="21"/>
  <c r="AV21" i="21"/>
  <c r="AC21" i="21"/>
  <c r="Q21" i="21"/>
  <c r="X19" i="21"/>
  <c r="AE18" i="21"/>
  <c r="AE23" i="21" s="1"/>
  <c r="AZ20" i="21"/>
  <c r="N18" i="21"/>
  <c r="AB20" i="21"/>
  <c r="AA21" i="21"/>
  <c r="AG20" i="21"/>
  <c r="L19" i="21"/>
  <c r="AX19" i="21"/>
  <c r="P20" i="21"/>
  <c r="O20" i="21"/>
  <c r="AU2" i="21"/>
  <c r="AJ2" i="21"/>
  <c r="AT2" i="21"/>
  <c r="AT5" i="21"/>
  <c r="AU4" i="21"/>
  <c r="AP2" i="21"/>
  <c r="AP7" i="21" s="1"/>
  <c r="AQ3" i="21"/>
  <c r="AS4" i="21"/>
  <c r="AS2" i="21"/>
  <c r="AU5" i="21"/>
  <c r="AU3" i="21"/>
  <c r="AN2" i="21"/>
  <c r="AQ2" i="21"/>
  <c r="AR2" i="21"/>
  <c r="AR4" i="21"/>
  <c r="AN5" i="21"/>
  <c r="AQ4" i="21"/>
  <c r="AS3" i="21"/>
  <c r="AK2" i="21"/>
  <c r="AS5" i="21"/>
  <c r="AR3" i="21"/>
  <c r="AR5" i="21"/>
  <c r="AQ5" i="21"/>
  <c r="AT4" i="21"/>
  <c r="AT3" i="21"/>
  <c r="AO2" i="21"/>
  <c r="AN3" i="21"/>
  <c r="AP3" i="21"/>
  <c r="BC19" i="21"/>
  <c r="BD18" i="21"/>
  <c r="BG19" i="21"/>
  <c r="BE21" i="21"/>
  <c r="BC21" i="21"/>
  <c r="BB18" i="21"/>
  <c r="BD20" i="21"/>
  <c r="BG20" i="21"/>
  <c r="BC20" i="21"/>
  <c r="BE18" i="21"/>
  <c r="BB19" i="21"/>
  <c r="BE19" i="21"/>
  <c r="AW18" i="21"/>
  <c r="BF19" i="21"/>
  <c r="BD21" i="21"/>
  <c r="BC18" i="21"/>
  <c r="BF18" i="21"/>
  <c r="BD19" i="21"/>
  <c r="BF21" i="21"/>
  <c r="BG21" i="21"/>
  <c r="BG18" i="21"/>
  <c r="BA18" i="21"/>
  <c r="AV18" i="21"/>
  <c r="AV23" i="21" s="1"/>
  <c r="BE20" i="21"/>
  <c r="BF20" i="21"/>
  <c r="AD31" i="21"/>
  <c r="R43" i="21"/>
  <c r="T42" i="21"/>
  <c r="V45" i="21"/>
  <c r="T44" i="21"/>
  <c r="L42" i="21"/>
  <c r="Q42" i="21"/>
  <c r="T45" i="21"/>
  <c r="V43" i="21"/>
  <c r="U45" i="21"/>
  <c r="T43" i="21"/>
  <c r="W44" i="21"/>
  <c r="S45" i="21"/>
  <c r="S42" i="21"/>
  <c r="P42" i="21"/>
  <c r="W43" i="21"/>
  <c r="M42" i="21"/>
  <c r="P43" i="21"/>
  <c r="S43" i="21"/>
  <c r="V42" i="21"/>
  <c r="S44" i="21"/>
  <c r="U44" i="21"/>
  <c r="R42" i="21"/>
  <c r="U42" i="21"/>
  <c r="U43" i="21"/>
  <c r="W45" i="21"/>
  <c r="V44" i="21"/>
  <c r="P45" i="21"/>
  <c r="W42" i="21"/>
  <c r="BB31" i="21"/>
  <c r="Q31" i="21"/>
  <c r="N43" i="24"/>
  <c r="N47" i="24" s="1"/>
  <c r="L43" i="24"/>
  <c r="L47" i="24" s="1"/>
  <c r="M43" i="24"/>
  <c r="M47" i="24" s="1"/>
  <c r="Q43" i="24"/>
  <c r="Q47" i="24" s="1"/>
  <c r="AK31" i="21"/>
  <c r="BB69" i="21"/>
  <c r="AW69" i="21"/>
  <c r="AL68" i="21"/>
  <c r="AO68" i="21"/>
  <c r="R68" i="21"/>
  <c r="Z68" i="21"/>
  <c r="Y69" i="21"/>
  <c r="AZ68" i="21"/>
  <c r="BB68" i="21"/>
  <c r="AW68" i="21"/>
  <c r="AE66" i="21"/>
  <c r="AC69" i="21"/>
  <c r="AB68" i="21"/>
  <c r="P68" i="21"/>
  <c r="AG68" i="21"/>
  <c r="M68" i="21"/>
  <c r="L67" i="21"/>
  <c r="N68" i="21"/>
  <c r="AK67" i="21"/>
  <c r="O66" i="21"/>
  <c r="AP68" i="21"/>
  <c r="AX66" i="21"/>
  <c r="BA69" i="21"/>
  <c r="AJ67" i="21"/>
  <c r="X69" i="21"/>
  <c r="AO67" i="21"/>
  <c r="AM69" i="21"/>
  <c r="N69" i="21"/>
  <c r="AE69" i="21"/>
  <c r="AA66" i="21"/>
  <c r="AY66" i="21"/>
  <c r="AY71" i="21" s="1"/>
  <c r="Z66" i="21"/>
  <c r="O67" i="21"/>
  <c r="AA68" i="21"/>
  <c r="AZ69" i="21"/>
  <c r="O68" i="21"/>
  <c r="AE67" i="21"/>
  <c r="AV69" i="21"/>
  <c r="N66" i="21"/>
  <c r="BA67" i="21"/>
  <c r="Y67" i="21"/>
  <c r="AY68" i="21"/>
  <c r="AY69" i="21"/>
  <c r="AM68" i="21"/>
  <c r="AP69" i="21"/>
  <c r="X68" i="21"/>
  <c r="O69" i="21"/>
  <c r="Y68" i="21"/>
  <c r="AK69" i="21"/>
  <c r="L68" i="21"/>
  <c r="AD68" i="21"/>
  <c r="AY67" i="21"/>
  <c r="AM67" i="21"/>
  <c r="AZ66" i="21"/>
  <c r="AJ68" i="21"/>
  <c r="M69" i="21"/>
  <c r="AW67" i="21"/>
  <c r="AZ67" i="21"/>
  <c r="AG69" i="21"/>
  <c r="AF68" i="21"/>
  <c r="AG67" i="21"/>
  <c r="AL66" i="21"/>
  <c r="AL71" i="21" s="1"/>
  <c r="Z69" i="21"/>
  <c r="M67" i="21"/>
  <c r="Q69" i="21"/>
  <c r="AX67" i="21"/>
  <c r="BA68" i="21"/>
  <c r="AX69" i="21"/>
  <c r="Z67" i="21"/>
  <c r="AH68" i="21"/>
  <c r="AH69" i="21"/>
  <c r="AN68" i="21"/>
  <c r="AX68" i="21"/>
  <c r="N67" i="21"/>
  <c r="AL67" i="21"/>
  <c r="AD69" i="21"/>
  <c r="AV67" i="21"/>
  <c r="AC68" i="21"/>
  <c r="Q68" i="21"/>
  <c r="X67" i="21"/>
  <c r="AJ69" i="21"/>
  <c r="AO69" i="21"/>
  <c r="AE68" i="21"/>
  <c r="AM66" i="21"/>
  <c r="R69" i="21"/>
  <c r="AC67" i="21"/>
  <c r="L69" i="21"/>
  <c r="AK68" i="21"/>
  <c r="AA67" i="21"/>
  <c r="AV68" i="21"/>
  <c r="AL69" i="21"/>
  <c r="Q67" i="21"/>
  <c r="AA69" i="21"/>
  <c r="AR31" i="21"/>
  <c r="AT13" i="21"/>
  <c r="AO10" i="21"/>
  <c r="AJ10" i="21"/>
  <c r="AN11" i="21"/>
  <c r="AT11" i="21"/>
  <c r="AS12" i="21"/>
  <c r="AS11" i="21"/>
  <c r="AU12" i="21"/>
  <c r="AQ11" i="21"/>
  <c r="AR12" i="21"/>
  <c r="AU10" i="21"/>
  <c r="AT10" i="21"/>
  <c r="AR11" i="21"/>
  <c r="AT12" i="21"/>
  <c r="AP10" i="21"/>
  <c r="AK10" i="21"/>
  <c r="AK15" i="21" s="1"/>
  <c r="AU13" i="21"/>
  <c r="AP11" i="21"/>
  <c r="AS10" i="21"/>
  <c r="AN10" i="21"/>
  <c r="AR13" i="21"/>
  <c r="AQ10" i="21"/>
  <c r="AQ12" i="21"/>
  <c r="AS13" i="21"/>
  <c r="AR10" i="21"/>
  <c r="AU11" i="21"/>
  <c r="AN13" i="21"/>
  <c r="AQ13" i="21"/>
  <c r="P31" i="21"/>
  <c r="N31" i="21"/>
  <c r="Z31" i="21"/>
  <c r="BD51" i="21"/>
  <c r="BA50" i="21"/>
  <c r="BF50" i="21"/>
  <c r="BB51" i="21"/>
  <c r="BF51" i="21"/>
  <c r="BC53" i="21"/>
  <c r="BC50" i="21"/>
  <c r="BE52" i="21"/>
  <c r="AW50" i="21"/>
  <c r="BG51" i="21"/>
  <c r="BF53" i="21"/>
  <c r="BF52" i="21"/>
  <c r="AV50" i="21"/>
  <c r="BE53" i="21"/>
  <c r="BD52" i="21"/>
  <c r="BC51" i="21"/>
  <c r="BD53" i="21"/>
  <c r="BB50" i="21"/>
  <c r="BD50" i="21"/>
  <c r="BC52" i="21"/>
  <c r="BE51" i="21"/>
  <c r="BG52" i="21"/>
  <c r="BE50" i="21"/>
  <c r="BG53" i="21"/>
  <c r="BG50" i="21"/>
  <c r="AO31" i="21"/>
  <c r="AI31" i="21"/>
  <c r="AF4" i="21"/>
  <c r="AJ5" i="21"/>
  <c r="AG5" i="21"/>
  <c r="X5" i="21"/>
  <c r="AN4" i="21"/>
  <c r="AK3" i="21"/>
  <c r="Z3" i="21"/>
  <c r="AG3" i="21"/>
  <c r="Z2" i="21"/>
  <c r="AD5" i="21"/>
  <c r="AO3" i="21"/>
  <c r="AB4" i="21"/>
  <c r="AY3" i="21"/>
  <c r="AG4" i="21"/>
  <c r="AZ3" i="21"/>
  <c r="AK4" i="21"/>
  <c r="AY4" i="21"/>
  <c r="AO4" i="21"/>
  <c r="R4" i="21"/>
  <c r="N4" i="21"/>
  <c r="L5" i="21"/>
  <c r="AA3" i="21"/>
  <c r="AZ4" i="21"/>
  <c r="AW3" i="21"/>
  <c r="AM2" i="21"/>
  <c r="X3" i="21"/>
  <c r="AY5" i="21"/>
  <c r="AM4" i="21"/>
  <c r="BA5" i="21"/>
  <c r="AZ2" i="21"/>
  <c r="AE4" i="21"/>
  <c r="Z4" i="21"/>
  <c r="AA4" i="21"/>
  <c r="AY2" i="21"/>
  <c r="AY7" i="21" s="1"/>
  <c r="AD4" i="21"/>
  <c r="M3" i="21"/>
  <c r="Y5" i="21"/>
  <c r="AL5" i="21"/>
  <c r="AW5" i="21"/>
  <c r="AX5" i="21"/>
  <c r="O3" i="21"/>
  <c r="AM5" i="21"/>
  <c r="BB4" i="21"/>
  <c r="Q5" i="21"/>
  <c r="AZ5" i="21"/>
  <c r="O5" i="21"/>
  <c r="Q3" i="21"/>
  <c r="AC5" i="21"/>
  <c r="AL4" i="21"/>
  <c r="AW4" i="21"/>
  <c r="AH4" i="21"/>
  <c r="BB5" i="21"/>
  <c r="Y3" i="21"/>
  <c r="X4" i="21"/>
  <c r="N5" i="21"/>
  <c r="AV5" i="21"/>
  <c r="Q4" i="21"/>
  <c r="L4" i="21"/>
  <c r="M4" i="21"/>
  <c r="AV3" i="21"/>
  <c r="AM3" i="21"/>
  <c r="AO5" i="21"/>
  <c r="O4" i="21"/>
  <c r="R5" i="21"/>
  <c r="AL2" i="21"/>
  <c r="AE5" i="21"/>
  <c r="AE3" i="21"/>
  <c r="AV4" i="21"/>
  <c r="P4" i="21"/>
  <c r="N2" i="21"/>
  <c r="AX4" i="21"/>
  <c r="M5" i="21"/>
  <c r="AJ4" i="21"/>
  <c r="O2" i="21"/>
  <c r="AA5" i="21"/>
  <c r="AP4" i="21"/>
  <c r="AA2" i="21"/>
  <c r="BA3" i="21"/>
  <c r="N3" i="21"/>
  <c r="Z5" i="21"/>
  <c r="AC4" i="21"/>
  <c r="AP5" i="21"/>
  <c r="AE2" i="21"/>
  <c r="AE7" i="21" s="1"/>
  <c r="AX2" i="21"/>
  <c r="Y4" i="21"/>
  <c r="AL3" i="21"/>
  <c r="AH5" i="21"/>
  <c r="AX3" i="21"/>
  <c r="AJ3" i="21"/>
  <c r="BA4" i="21"/>
  <c r="L3" i="21"/>
  <c r="AK5" i="21"/>
  <c r="AC3" i="21"/>
  <c r="K60" i="21"/>
  <c r="K61" i="21"/>
  <c r="K58" i="21"/>
  <c r="K59" i="21"/>
  <c r="K61" i="24"/>
  <c r="K58" i="24"/>
  <c r="K60" i="24"/>
  <c r="K59" i="24"/>
  <c r="K34" i="21"/>
  <c r="K37" i="21"/>
  <c r="K35" i="21"/>
  <c r="K36" i="21"/>
  <c r="K34" i="24"/>
  <c r="K36" i="24"/>
  <c r="K37" i="24"/>
  <c r="K35" i="24"/>
  <c r="G76" i="21" a="1"/>
  <c r="G44" i="21" a="1"/>
  <c r="G20" i="21" a="1"/>
  <c r="G12" i="21" a="1"/>
  <c r="G4" i="21" a="1"/>
  <c r="G52" i="21" a="1"/>
  <c r="G68" i="21" a="1"/>
  <c r="G76" i="21" l="1"/>
  <c r="B76" i="21" s="1"/>
  <c r="T79" i="21"/>
  <c r="BA55" i="21"/>
  <c r="AA23" i="21"/>
  <c r="AL15" i="21"/>
  <c r="R79" i="21"/>
  <c r="AA71" i="21"/>
  <c r="AL55" i="21"/>
  <c r="AE47" i="21"/>
  <c r="AP15" i="21"/>
  <c r="BE79" i="21"/>
  <c r="AJ71" i="21"/>
  <c r="AX23" i="21"/>
  <c r="Q7" i="21"/>
  <c r="Z47" i="21"/>
  <c r="AK47" i="21"/>
  <c r="W79" i="21"/>
  <c r="AV55" i="21"/>
  <c r="BA7" i="21"/>
  <c r="AB79" i="21"/>
  <c r="BD79" i="21"/>
  <c r="AZ15" i="21"/>
  <c r="V79" i="21"/>
  <c r="BE71" i="21"/>
  <c r="Z79" i="21"/>
  <c r="S79" i="21"/>
  <c r="AJ79" i="21"/>
  <c r="AE79" i="21"/>
  <c r="AW79" i="21"/>
  <c r="AD47" i="21"/>
  <c r="AK79" i="21"/>
  <c r="BB79" i="21"/>
  <c r="BB55" i="21"/>
  <c r="T47" i="21"/>
  <c r="O79" i="21"/>
  <c r="AG79" i="21"/>
  <c r="AP79" i="21"/>
  <c r="AO71" i="21"/>
  <c r="AZ47" i="21"/>
  <c r="BC7" i="21"/>
  <c r="AC79" i="21"/>
  <c r="AK71" i="21"/>
  <c r="AO23" i="21"/>
  <c r="AN47" i="21"/>
  <c r="AY79" i="21"/>
  <c r="AX79" i="21"/>
  <c r="AA55" i="21"/>
  <c r="AV15" i="21"/>
  <c r="AX47" i="21"/>
  <c r="V23" i="21"/>
  <c r="P79" i="21"/>
  <c r="BA79" i="21"/>
  <c r="T7" i="21"/>
  <c r="AZ79" i="21"/>
  <c r="BA23" i="21"/>
  <c r="P23" i="21"/>
  <c r="AL79" i="21"/>
  <c r="Y79" i="21"/>
  <c r="AM79" i="21"/>
  <c r="U79" i="21"/>
  <c r="AS23" i="21"/>
  <c r="BF79" i="21"/>
  <c r="K74" i="21"/>
  <c r="BC47" i="21"/>
  <c r="AF79" i="21"/>
  <c r="Q79" i="21"/>
  <c r="AO79" i="21"/>
  <c r="BG79" i="21"/>
  <c r="G68" i="21"/>
  <c r="B68" i="21" s="1"/>
  <c r="N37" i="1" s="1"/>
  <c r="D68" i="24" s="1"/>
  <c r="B68" i="24" s="1"/>
  <c r="G52" i="21"/>
  <c r="B52" i="21" s="1"/>
  <c r="N29" i="1" s="1"/>
  <c r="D52" i="24" s="1"/>
  <c r="B52" i="24" s="1"/>
  <c r="G4" i="21"/>
  <c r="B4" i="21" s="1"/>
  <c r="G12" i="21"/>
  <c r="B12" i="21" s="1"/>
  <c r="N9" i="1" s="1"/>
  <c r="D12" i="24" s="1"/>
  <c r="B12" i="24" s="1"/>
  <c r="G20" i="21"/>
  <c r="B20" i="21" s="1"/>
  <c r="N13" i="1" s="1"/>
  <c r="D20" i="24" s="1"/>
  <c r="B20" i="24" s="1"/>
  <c r="G44" i="21"/>
  <c r="B44" i="21" s="1"/>
  <c r="K5" i="21"/>
  <c r="AG55" i="21"/>
  <c r="N7" i="21"/>
  <c r="BE23" i="21"/>
  <c r="AL23" i="21"/>
  <c r="AZ55" i="21"/>
  <c r="P71" i="21"/>
  <c r="L23" i="21"/>
  <c r="R15" i="21"/>
  <c r="AJ47" i="21"/>
  <c r="AX7" i="21"/>
  <c r="W71" i="21"/>
  <c r="T23" i="21"/>
  <c r="BF71" i="21"/>
  <c r="BE15" i="21"/>
  <c r="M15" i="21"/>
  <c r="AP47" i="21"/>
  <c r="S47" i="21"/>
  <c r="AT7" i="21"/>
  <c r="T55" i="21"/>
  <c r="AP55" i="21"/>
  <c r="V7" i="21"/>
  <c r="AC15" i="21"/>
  <c r="AG71" i="21"/>
  <c r="BG47" i="21"/>
  <c r="AU15" i="21"/>
  <c r="W47" i="21"/>
  <c r="AW7" i="21"/>
  <c r="AB71" i="21"/>
  <c r="AW47" i="21"/>
  <c r="K3" i="21"/>
  <c r="BG23" i="21"/>
  <c r="AP23" i="21"/>
  <c r="Q55" i="21"/>
  <c r="N47" i="21"/>
  <c r="AH47" i="21"/>
  <c r="AG7" i="21"/>
  <c r="N71" i="21"/>
  <c r="BC71" i="21"/>
  <c r="M55" i="21"/>
  <c r="AK55" i="21"/>
  <c r="W23" i="21"/>
  <c r="AC47" i="21"/>
  <c r="BG55" i="21"/>
  <c r="AZ71" i="21"/>
  <c r="N55" i="21"/>
  <c r="AM55" i="21"/>
  <c r="P7" i="21"/>
  <c r="BF7" i="21"/>
  <c r="AG15" i="21"/>
  <c r="Y71" i="21"/>
  <c r="AD55" i="21"/>
  <c r="AB47" i="21"/>
  <c r="AD7" i="21"/>
  <c r="AR7" i="21"/>
  <c r="AP71" i="21"/>
  <c r="S7" i="21"/>
  <c r="AH23" i="21"/>
  <c r="S23" i="21"/>
  <c r="AF55" i="21"/>
  <c r="AF47" i="21"/>
  <c r="BE55" i="21"/>
  <c r="AQ15" i="21"/>
  <c r="AM71" i="21"/>
  <c r="U47" i="21"/>
  <c r="U7" i="21"/>
  <c r="L71" i="21"/>
  <c r="AY47" i="21"/>
  <c r="AV7" i="21"/>
  <c r="AF71" i="21"/>
  <c r="X55" i="21"/>
  <c r="P15" i="21"/>
  <c r="R47" i="21"/>
  <c r="BC23" i="21"/>
  <c r="AN7" i="21"/>
  <c r="BB71" i="21"/>
  <c r="AF15" i="21"/>
  <c r="AW71" i="21"/>
  <c r="AK23" i="21"/>
  <c r="L55" i="21"/>
  <c r="AB15" i="21"/>
  <c r="AD71" i="21"/>
  <c r="AM7" i="21"/>
  <c r="AS15" i="21"/>
  <c r="AJ15" i="21"/>
  <c r="AO7" i="21"/>
  <c r="AQ23" i="21"/>
  <c r="V55" i="21"/>
  <c r="AW15" i="21"/>
  <c r="BG15" i="21"/>
  <c r="M71" i="21"/>
  <c r="AB23" i="21"/>
  <c r="AM47" i="21"/>
  <c r="Y15" i="21"/>
  <c r="AA15" i="21"/>
  <c r="X71" i="21"/>
  <c r="AC55" i="21"/>
  <c r="K66" i="21"/>
  <c r="K69" i="21"/>
  <c r="K67" i="21"/>
  <c r="K68" i="21"/>
  <c r="BA47" i="21"/>
  <c r="Q15" i="21"/>
  <c r="X7" i="21"/>
  <c r="M47" i="21"/>
  <c r="AZ23" i="21"/>
  <c r="BG71" i="21"/>
  <c r="Z55" i="21"/>
  <c r="W7" i="21"/>
  <c r="BE7" i="21"/>
  <c r="AI15" i="21"/>
  <c r="U23" i="21"/>
  <c r="Y55" i="21"/>
  <c r="X47" i="21"/>
  <c r="AX55" i="21"/>
  <c r="AD15" i="21"/>
  <c r="AV47" i="21"/>
  <c r="T15" i="21"/>
  <c r="AH7" i="21"/>
  <c r="AE71" i="21"/>
  <c r="P47" i="21"/>
  <c r="AY55" i="21"/>
  <c r="S55" i="21"/>
  <c r="BB7" i="21"/>
  <c r="L15" i="21"/>
  <c r="AT15" i="21"/>
  <c r="AK7" i="21"/>
  <c r="Y23" i="21"/>
  <c r="AL7" i="21"/>
  <c r="BB23" i="21"/>
  <c r="AJ7" i="21"/>
  <c r="BF15" i="21"/>
  <c r="L7" i="21"/>
  <c r="Q71" i="21"/>
  <c r="BG7" i="21"/>
  <c r="R23" i="21"/>
  <c r="AU7" i="21"/>
  <c r="AM23" i="21"/>
  <c r="AT23" i="21"/>
  <c r="P55" i="21"/>
  <c r="M7" i="21"/>
  <c r="AI23" i="21"/>
  <c r="BD47" i="21"/>
  <c r="V15" i="21"/>
  <c r="S15" i="21"/>
  <c r="AR15" i="21"/>
  <c r="AG23" i="21"/>
  <c r="AE15" i="21"/>
  <c r="BB47" i="21"/>
  <c r="W15" i="21"/>
  <c r="AO47" i="21"/>
  <c r="AZ7" i="21"/>
  <c r="AW55" i="21"/>
  <c r="AX71" i="21"/>
  <c r="R55" i="21"/>
  <c r="M23" i="21"/>
  <c r="U15" i="21"/>
  <c r="AA7" i="21"/>
  <c r="BD23" i="21"/>
  <c r="Z23" i="21"/>
  <c r="AV71" i="21"/>
  <c r="BD15" i="21"/>
  <c r="AQ55" i="21"/>
  <c r="O47" i="21"/>
  <c r="X15" i="21"/>
  <c r="N15" i="21"/>
  <c r="AB7" i="21"/>
  <c r="BC55" i="21"/>
  <c r="O71" i="21"/>
  <c r="BF23" i="21"/>
  <c r="AQ7" i="21"/>
  <c r="AU23" i="21"/>
  <c r="U71" i="21"/>
  <c r="AL47" i="21"/>
  <c r="AH15" i="21"/>
  <c r="O15" i="21"/>
  <c r="K11" i="21"/>
  <c r="K10" i="21"/>
  <c r="K12" i="21"/>
  <c r="AF7" i="21"/>
  <c r="Q47" i="21"/>
  <c r="AN23" i="21"/>
  <c r="R7" i="21"/>
  <c r="S71" i="21"/>
  <c r="AA47" i="21"/>
  <c r="BD7" i="21"/>
  <c r="Q23" i="21"/>
  <c r="AY15" i="21"/>
  <c r="AQ47" i="21"/>
  <c r="Y7" i="21"/>
  <c r="O7" i="21"/>
  <c r="AN15" i="21"/>
  <c r="L47" i="21"/>
  <c r="BD71" i="21"/>
  <c r="AE55" i="21"/>
  <c r="AN55" i="21"/>
  <c r="AB55" i="21"/>
  <c r="AI7" i="21"/>
  <c r="Z7" i="21"/>
  <c r="BD55" i="21"/>
  <c r="BF55" i="21"/>
  <c r="AO15" i="21"/>
  <c r="Z71" i="21"/>
  <c r="V47" i="21"/>
  <c r="AW23" i="21"/>
  <c r="AS7" i="21"/>
  <c r="N23" i="21"/>
  <c r="O23" i="21"/>
  <c r="O55" i="21"/>
  <c r="K19" i="21"/>
  <c r="AN71" i="21"/>
  <c r="AJ23" i="21"/>
  <c r="BB15" i="21"/>
  <c r="AJ55" i="21"/>
  <c r="AO55" i="21"/>
  <c r="AF23" i="21"/>
  <c r="AM15" i="21"/>
  <c r="Z15" i="21"/>
  <c r="AH55" i="21"/>
  <c r="BE47" i="21"/>
  <c r="N17" i="1"/>
  <c r="D28" i="24" s="1"/>
  <c r="B28" i="24" s="1"/>
  <c r="K29" i="21"/>
  <c r="K28" i="21"/>
  <c r="K26" i="21"/>
  <c r="K53" i="21" l="1"/>
  <c r="K51" i="21"/>
  <c r="K21" i="21"/>
  <c r="K50" i="21"/>
  <c r="K20" i="21"/>
  <c r="K13" i="21"/>
  <c r="N41" i="1"/>
  <c r="D76" i="24" s="1"/>
  <c r="B76" i="24" s="1"/>
  <c r="K76" i="21"/>
  <c r="K75" i="21"/>
  <c r="K77" i="21"/>
  <c r="K26" i="24"/>
  <c r="K27" i="24"/>
  <c r="K28" i="24"/>
  <c r="K29" i="24"/>
  <c r="K42" i="21"/>
  <c r="K45" i="21"/>
  <c r="N25" i="1"/>
  <c r="D44" i="24" s="1"/>
  <c r="B44" i="24" s="1"/>
  <c r="K44" i="21"/>
  <c r="K43" i="21"/>
  <c r="K4" i="21"/>
  <c r="N5" i="1"/>
  <c r="D4" i="24" s="1"/>
  <c r="B4" i="24" s="1"/>
  <c r="K2" i="21"/>
  <c r="K52" i="24"/>
  <c r="K50" i="24"/>
  <c r="K53" i="24"/>
  <c r="K51" i="24"/>
  <c r="K20" i="24"/>
  <c r="K21" i="24"/>
  <c r="K18" i="24"/>
  <c r="K19" i="24"/>
  <c r="K13" i="24"/>
  <c r="K10" i="24"/>
  <c r="K12" i="24"/>
  <c r="K11" i="24"/>
  <c r="K18" i="21"/>
  <c r="K52" i="21"/>
  <c r="K66" i="24"/>
  <c r="K69" i="24"/>
  <c r="K68" i="24"/>
  <c r="K67" i="24"/>
  <c r="K77" i="24" l="1"/>
  <c r="K74" i="24"/>
  <c r="K76" i="24"/>
  <c r="K75" i="24"/>
  <c r="K3" i="24"/>
  <c r="K4" i="24"/>
  <c r="K5" i="24"/>
  <c r="K2" i="24"/>
  <c r="K42" i="24"/>
  <c r="K43" i="24"/>
  <c r="K44" i="24"/>
  <c r="K4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2" authorId="0" shapeId="0" xr:uid="{00000000-0006-0000-1200-000001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3" authorId="0" shapeId="0" xr:uid="{00000000-0006-0000-1200-000002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4" authorId="0" shapeId="0" xr:uid="{00000000-0006-0000-1200-000003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5" authorId="0" shapeId="0" xr:uid="{00000000-0006-0000-1200-000004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6" authorId="0" shapeId="0" xr:uid="{00000000-0006-0000-1200-000005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7" authorId="0" shapeId="0" xr:uid="{00000000-0006-0000-1200-000006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8" authorId="0" shapeId="0" xr:uid="{00000000-0006-0000-1200-000007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9" authorId="0" shapeId="0" xr:uid="{00000000-0006-0000-1200-000008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10" authorId="0" shapeId="0" xr:uid="{00000000-0006-0000-1200-000009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  <comment ref="H11" authorId="0" shapeId="0" xr:uid="{00000000-0006-0000-1200-00000A000000}">
      <text>
        <r>
          <rPr>
            <sz val="10"/>
            <rFont val="Arial"/>
            <family val="2"/>
            <charset val="161"/>
          </rPr>
          <t xml:space="preserve">NIE USUWAĆ TEJ KOMÓRKI!!!!!!!!!!!!!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<sst xmlns="http://schemas.openxmlformats.org/spreadsheetml/2006/main" count="6565" uniqueCount="1166">
  <si>
    <t>offer id:</t>
  </si>
  <si>
    <t>No.</t>
  </si>
  <si>
    <t>Typ</t>
  </si>
  <si>
    <r>
      <rPr>
        <b/>
        <sz val="12"/>
        <rFont val="Arial"/>
        <family val="2"/>
        <charset val="161"/>
      </rPr>
      <t xml:space="preserve">Internal dimensions
</t>
    </r>
    <r>
      <rPr>
        <sz val="12"/>
        <rFont val="Arial"/>
        <family val="2"/>
        <charset val="161"/>
      </rPr>
      <t>length x width x height</t>
    </r>
  </si>
  <si>
    <t>DODATKOWE</t>
  </si>
  <si>
    <t>WYM.
TEKTURY</t>
  </si>
  <si>
    <t>METRAŻ
ILOŚĆ UŻYTKÓW</t>
  </si>
  <si>
    <t>Quality of board</t>
  </si>
  <si>
    <t>Nadruk %
klejenie 3 pkt.
szycie</t>
  </si>
  <si>
    <t>Centra robocze</t>
  </si>
  <si>
    <t>Size of pallet
  Quantities at pallet</t>
  </si>
  <si>
    <t>Pakowanie</t>
  </si>
  <si>
    <t>Dane paczki</t>
  </si>
  <si>
    <t>Printing or other additives</t>
  </si>
  <si>
    <t>CENA 
SUROWCA</t>
  </si>
  <si>
    <t>WYLICZANKA</t>
  </si>
  <si>
    <r>
      <rPr>
        <b/>
        <sz val="12"/>
        <rFont val="Arial"/>
        <family val="2"/>
        <charset val="161"/>
      </rPr>
      <t xml:space="preserve">Weight 1 pcs
</t>
    </r>
    <r>
      <rPr>
        <sz val="12"/>
        <rFont val="Arial"/>
        <family val="2"/>
        <charset val="161"/>
      </rPr>
      <t xml:space="preserve"> Weight of the entire order</t>
    </r>
  </si>
  <si>
    <t>ROBOCIZNA</t>
  </si>
  <si>
    <t>KOSZT PALET</t>
  </si>
  <si>
    <t>TRANSPORT
EUR</t>
  </si>
  <si>
    <t>MARŻA</t>
  </si>
  <si>
    <t>Quantities</t>
  </si>
  <si>
    <t>Palette</t>
  </si>
  <si>
    <t>Cena za sztukę
PLN EXW</t>
  </si>
  <si>
    <t>Marża
Ile %</t>
  </si>
  <si>
    <t>Marża
Ustaw %</t>
  </si>
  <si>
    <r>
      <rPr>
        <b/>
        <sz val="11"/>
        <color rgb="FFFF3333"/>
        <rFont val="Arial"/>
        <family val="2"/>
        <charset val="161"/>
      </rPr>
      <t>300mb</t>
    </r>
    <r>
      <rPr>
        <b/>
        <sz val="11"/>
        <rFont val="Arial"/>
        <family val="2"/>
        <charset val="161"/>
      </rPr>
      <t>/</t>
    </r>
    <r>
      <rPr>
        <b/>
        <sz val="11"/>
        <color rgb="FFFF9900"/>
        <rFont val="Arial"/>
        <family val="2"/>
        <charset val="161"/>
      </rPr>
      <t xml:space="preserve">500mb
</t>
    </r>
    <r>
      <rPr>
        <b/>
        <sz val="11"/>
        <color rgb="FF0066CC"/>
        <rFont val="Arial"/>
        <family val="2"/>
        <charset val="161"/>
      </rPr>
      <t>200m2</t>
    </r>
    <r>
      <rPr>
        <b/>
        <sz val="11"/>
        <rFont val="Arial"/>
        <family val="2"/>
        <charset val="161"/>
      </rPr>
      <t>/</t>
    </r>
    <r>
      <rPr>
        <b/>
        <sz val="11"/>
        <color rgb="FF579D1C"/>
        <rFont val="Arial"/>
        <family val="2"/>
        <charset val="161"/>
      </rPr>
      <t>500m2</t>
    </r>
  </si>
  <si>
    <t>Ile dla firmy</t>
  </si>
  <si>
    <t>Koszt auta EUR
kierunek</t>
  </si>
  <si>
    <t>mb</t>
  </si>
  <si>
    <t>m2 łącznie</t>
  </si>
  <si>
    <t>Price for 
1000 pcs</t>
  </si>
  <si>
    <t>Koszt palet
Całość</t>
  </si>
  <si>
    <t>Cena palety PLN</t>
  </si>
  <si>
    <t>Kurs euro</t>
  </si>
  <si>
    <t xml:space="preserve"> </t>
  </si>
  <si>
    <t>długość</t>
  </si>
  <si>
    <t>industrial 1200x1000</t>
  </si>
  <si>
    <t>dług palety</t>
  </si>
  <si>
    <t>szer palety</t>
  </si>
  <si>
    <t>Wymiar paczki</t>
  </si>
  <si>
    <t>kg/pcs</t>
  </si>
  <si>
    <t>F0201</t>
  </si>
  <si>
    <t>-</t>
  </si>
  <si>
    <t>szerokość</t>
  </si>
  <si>
    <t>margines</t>
  </si>
  <si>
    <t>Ilość słupków na palecie</t>
  </si>
  <si>
    <t>Pcs  -</t>
  </si>
  <si>
    <t>kg</t>
  </si>
  <si>
    <t>T-5BC0-0-TWT-16</t>
  </si>
  <si>
    <t>T-5BC0-0-KSK-11</t>
  </si>
  <si>
    <t>RAZEM</t>
  </si>
  <si>
    <t>T-5BC0-0-TWT-40</t>
  </si>
  <si>
    <t>industrial 1200x800</t>
  </si>
  <si>
    <t>T-3B00-0-MMM-70</t>
  </si>
  <si>
    <t>szt -</t>
  </si>
  <si>
    <t>Dł.</t>
  </si>
  <si>
    <t>Szer.</t>
  </si>
  <si>
    <t>wymiar mm</t>
  </si>
  <si>
    <r>
      <rPr>
        <sz val="10"/>
        <rFont val="Arial"/>
        <family val="2"/>
        <charset val="161"/>
      </rPr>
      <t>m</t>
    </r>
    <r>
      <rPr>
        <vertAlign val="superscript"/>
        <sz val="10"/>
        <rFont val="Arial"/>
        <family val="2"/>
        <charset val="161"/>
      </rPr>
      <t>2</t>
    </r>
  </si>
  <si>
    <t>Wym. do transportu</t>
  </si>
  <si>
    <t>3W</t>
  </si>
  <si>
    <t>5W</t>
  </si>
  <si>
    <r>
      <rPr>
        <sz val="8"/>
        <rFont val="Arial"/>
        <family val="2"/>
        <charset val="161"/>
      </rPr>
      <t>min. Zamówienia m</t>
    </r>
    <r>
      <rPr>
        <vertAlign val="superscript"/>
        <sz val="10"/>
        <rFont val="Arial"/>
        <family val="2"/>
        <charset val="161"/>
      </rPr>
      <t>2</t>
    </r>
  </si>
  <si>
    <t>Dodatkowy warunek dla KYSa</t>
  </si>
  <si>
    <t>Dodatkowy warunek dla TEXO</t>
  </si>
  <si>
    <t>Wys.</t>
  </si>
  <si>
    <t>3W B</t>
  </si>
  <si>
    <t>3W C</t>
  </si>
  <si>
    <t>5W EB</t>
  </si>
  <si>
    <t>5W BC</t>
  </si>
  <si>
    <t>Bigi</t>
  </si>
  <si>
    <t>2x</t>
  </si>
  <si>
    <t>Grubość fali</t>
  </si>
  <si>
    <t>Język kl.</t>
  </si>
  <si>
    <t>Zakładka dna</t>
  </si>
  <si>
    <t>E</t>
  </si>
  <si>
    <t>B</t>
  </si>
  <si>
    <t>C</t>
  </si>
  <si>
    <t>EB</t>
  </si>
  <si>
    <t>BC</t>
  </si>
  <si>
    <t>Bigi w poprzek fali</t>
  </si>
  <si>
    <t>Bigi wzdłuż fali</t>
  </si>
  <si>
    <t>Ilość</t>
  </si>
  <si>
    <t>HA</t>
  </si>
  <si>
    <t>Ilość na pal.</t>
  </si>
  <si>
    <t>AAC</t>
  </si>
  <si>
    <t>Jęz. kl.</t>
  </si>
  <si>
    <t>Zakł. dna</t>
  </si>
  <si>
    <t>Wysokość klapki zamykającej.</t>
  </si>
  <si>
    <t>Wys. kl zam.</t>
  </si>
  <si>
    <t>GRAMATURA</t>
  </si>
  <si>
    <t>CC</t>
  </si>
  <si>
    <t>SYMBOL</t>
  </si>
  <si>
    <t>SYMBOL1</t>
  </si>
  <si>
    <t>CENA</t>
  </si>
  <si>
    <t>SKŁAD</t>
  </si>
  <si>
    <t>FALA</t>
  </si>
  <si>
    <t>Dostawca</t>
  </si>
  <si>
    <t>Cena bazowa</t>
  </si>
  <si>
    <t>Podwyżka</t>
  </si>
  <si>
    <t>Ilośćbezwykrojnika</t>
  </si>
  <si>
    <t>Ilośćzwykrojnikiem</t>
  </si>
  <si>
    <t>3-pkt klej</t>
  </si>
  <si>
    <t>T-3B00-0-ESE-70</t>
  </si>
  <si>
    <t>T-3B00-0-ESE-ST</t>
  </si>
  <si>
    <t>KTL135/SC135/KTL135</t>
  </si>
  <si>
    <t>bart</t>
  </si>
  <si>
    <t>T-3B00-0-EWE-70</t>
  </si>
  <si>
    <t>T-3B00-0-EWE-ST</t>
  </si>
  <si>
    <t>KTL135/W135/KTL135</t>
  </si>
  <si>
    <t>T-3B00-0-EWT-10</t>
  </si>
  <si>
    <t>1.30 B</t>
  </si>
  <si>
    <t>PLK140/W90/TL135 *</t>
  </si>
  <si>
    <t>progroup</t>
  </si>
  <si>
    <t>T-3B00-0-EWT-11</t>
  </si>
  <si>
    <t>1.30 B W6</t>
  </si>
  <si>
    <t>PLK140/W135/TL135</t>
  </si>
  <si>
    <t>T-3B00-0-EWT-40</t>
  </si>
  <si>
    <t>3B395A1</t>
  </si>
  <si>
    <t>KTL125/W100/TL120</t>
  </si>
  <si>
    <t>aquila</t>
  </si>
  <si>
    <t>T-3B00-0-EWT-70</t>
  </si>
  <si>
    <t>T-3B00-0-EWT-ST</t>
  </si>
  <si>
    <t>KTL135/W135/TL135</t>
  </si>
  <si>
    <t>T-3B00-0-EWT-90</t>
  </si>
  <si>
    <t>3B460A1</t>
  </si>
  <si>
    <t>KTL135/W135/TL135 *</t>
  </si>
  <si>
    <t>T-3B00-0-EWT-91</t>
  </si>
  <si>
    <t>3B515A1</t>
  </si>
  <si>
    <t>KTL160/W120/TL170 *</t>
  </si>
  <si>
    <t>T-3B00-0-EWT-92</t>
  </si>
  <si>
    <t>3B550A1</t>
  </si>
  <si>
    <t>KTL180/W135/TL170 *</t>
  </si>
  <si>
    <t>T-3B00-0-EWT-93</t>
  </si>
  <si>
    <t>3B560A1</t>
  </si>
  <si>
    <t>KTL180/W160/TL170 *</t>
  </si>
  <si>
    <t>T-3B00-0-EWT-94</t>
  </si>
  <si>
    <t>3B580A1</t>
  </si>
  <si>
    <t>KTL180/W160/TL180 *</t>
  </si>
  <si>
    <t>T-3B00-0-KWE-10</t>
  </si>
  <si>
    <t>1.31 B X6</t>
  </si>
  <si>
    <t>KL135/W135/PLK120</t>
  </si>
  <si>
    <t>T-3B00-0-KWE-11</t>
  </si>
  <si>
    <t>1.41 B N1</t>
  </si>
  <si>
    <t>KL175/W135/PLK140</t>
  </si>
  <si>
    <t>T-3B00-0-KWT- 10</t>
  </si>
  <si>
    <t>1.31 B N1</t>
  </si>
  <si>
    <t>KL135/W135/TL135</t>
  </si>
  <si>
    <t>T-3B00-0-KWT- 150</t>
  </si>
  <si>
    <t>3B0469KA</t>
  </si>
  <si>
    <t>KT135/FL140/TB140</t>
  </si>
  <si>
    <t>jass</t>
  </si>
  <si>
    <t>T-3B00-0-MMM-ST</t>
  </si>
  <si>
    <t>SCHR80/SCHR80/SCHR80</t>
  </si>
  <si>
    <t>T-3B00-0-TWT-  10</t>
  </si>
  <si>
    <t>1.02 B</t>
  </si>
  <si>
    <t>TL115/W90/TL115</t>
  </si>
  <si>
    <t>T-3B00-0-TWT- 150</t>
  </si>
  <si>
    <t>3B0296AA</t>
  </si>
  <si>
    <t>TB090/FL080/TB090</t>
  </si>
  <si>
    <t>T-3B00-0-TWT- 151</t>
  </si>
  <si>
    <t>3B0309AA</t>
  </si>
  <si>
    <t>TB090/FL090/TB090</t>
  </si>
  <si>
    <t>T-3B00-0-TWT- 152</t>
  </si>
  <si>
    <t>3B0342AA</t>
  </si>
  <si>
    <t>TB100/FL100/TB100</t>
  </si>
  <si>
    <t>T-3B00-0-TWT- 153</t>
  </si>
  <si>
    <t>3B0362AA</t>
  </si>
  <si>
    <t>TB120/FL100/TB100</t>
  </si>
  <si>
    <t>T-3B00-0-TWT- 154</t>
  </si>
  <si>
    <t>3B0382AA</t>
  </si>
  <si>
    <t>TB120/FL100/TB120</t>
  </si>
  <si>
    <t>T-3B00-0-TWT- 155</t>
  </si>
  <si>
    <t>3B0402AA</t>
  </si>
  <si>
    <t>TB140/FL100/TB120</t>
  </si>
  <si>
    <t>T-3B00-0-TWT- 156</t>
  </si>
  <si>
    <t>3B0422AA</t>
  </si>
  <si>
    <t>TB140/FL100/TB140</t>
  </si>
  <si>
    <t>T-3B00-0-TWT- 157</t>
  </si>
  <si>
    <t>3B0454AA</t>
  </si>
  <si>
    <t>TB140/FL140/TB120</t>
  </si>
  <si>
    <t>T-3B00-0-TWT- 158</t>
  </si>
  <si>
    <t>3B0478AA</t>
  </si>
  <si>
    <t>TB170/FL120/TB140</t>
  </si>
  <si>
    <t>T-3B00-0-TWT- 159</t>
  </si>
  <si>
    <t>3B0508AA</t>
  </si>
  <si>
    <t>TB170/FL120/TB170</t>
  </si>
  <si>
    <t>T-3B00-0-TWT- 160</t>
  </si>
  <si>
    <t>3B0352AA</t>
  </si>
  <si>
    <t>TB120/FL100/TB90</t>
  </si>
  <si>
    <t>T-3B00-0-TWT-11</t>
  </si>
  <si>
    <t>1.02 B N2</t>
  </si>
  <si>
    <t>TL115/W80/TL115</t>
  </si>
  <si>
    <t>T-3B00-0-TWT-12</t>
  </si>
  <si>
    <t>1.02 B N7</t>
  </si>
  <si>
    <t>TL115/W115/TL115</t>
  </si>
  <si>
    <t>T-3B00-0-TWT-13</t>
  </si>
  <si>
    <t>1.02 B W6</t>
  </si>
  <si>
    <t>TL115/W135/TL115</t>
  </si>
  <si>
    <t>T-3B00-0-TWT-14</t>
  </si>
  <si>
    <t>1.03 B</t>
  </si>
  <si>
    <t>TL135/W90/TL115</t>
  </si>
  <si>
    <t>T-3B00-0-TWT-16</t>
  </si>
  <si>
    <t>1.03 B N7</t>
  </si>
  <si>
    <t>TL135/W115/TL115</t>
  </si>
  <si>
    <t>T-3B00-0-TWT-17</t>
  </si>
  <si>
    <t>1.03 B W6</t>
  </si>
  <si>
    <t>TL135/W135/TL115</t>
  </si>
  <si>
    <t>T-3B00-0-TWT-18</t>
  </si>
  <si>
    <t>1.04 B</t>
  </si>
  <si>
    <t>TL135/W90/TL135</t>
  </si>
  <si>
    <t>T-3B00-0-TWT-19</t>
  </si>
  <si>
    <t>1.04 B W6</t>
  </si>
  <si>
    <t>TL135/W135/TL135</t>
  </si>
  <si>
    <t>T-3B00-0-TWT-20</t>
  </si>
  <si>
    <t>1.05 B N7</t>
  </si>
  <si>
    <t>TL170/W115/TL170</t>
  </si>
  <si>
    <t>T-3B00-0-TWT-21</t>
  </si>
  <si>
    <t>1.05 B W6</t>
  </si>
  <si>
    <t>TL170/W135/TL170</t>
  </si>
  <si>
    <t>T-3B00-0-TWT-22</t>
  </si>
  <si>
    <t>1.10 B</t>
  </si>
  <si>
    <t>TL90/W90/TL90</t>
  </si>
  <si>
    <t>T-3B00-0-TWT-23</t>
  </si>
  <si>
    <t>1.10 B N2</t>
  </si>
  <si>
    <t>TL90/W80/TL90</t>
  </si>
  <si>
    <t>T-3B00-0-TWT-25</t>
  </si>
  <si>
    <t>1.05 B X6</t>
  </si>
  <si>
    <t>TL170/W135/TL135</t>
  </si>
  <si>
    <t>T-3B00-0-TWT-40</t>
  </si>
  <si>
    <t>3B285A1</t>
  </si>
  <si>
    <t>T-3B00-0-TWT-41</t>
  </si>
  <si>
    <t>3B300A1</t>
  </si>
  <si>
    <t>T-3B00-0-TWT-42</t>
  </si>
  <si>
    <t>3B310A1</t>
  </si>
  <si>
    <t>TL100/W90/W90</t>
  </si>
  <si>
    <t>T-3B00-0-TWT-43</t>
  </si>
  <si>
    <t>3B320A1</t>
  </si>
  <si>
    <t>TL100/W90/TL90</t>
  </si>
  <si>
    <t>T-3B00-0-TWT-44</t>
  </si>
  <si>
    <t>3B340A1</t>
  </si>
  <si>
    <t>TL100/W100/TL100</t>
  </si>
  <si>
    <t>T-3B00-0-TWT-45</t>
  </si>
  <si>
    <t>3B350A1</t>
  </si>
  <si>
    <t>TL120/W90/TL100</t>
  </si>
  <si>
    <t>T-3B00-0-TWT-46</t>
  </si>
  <si>
    <t>3B355A1</t>
  </si>
  <si>
    <t>TL120/W100/TL100</t>
  </si>
  <si>
    <t>T-3B00-0-TWT-47</t>
  </si>
  <si>
    <t>3B390A1</t>
  </si>
  <si>
    <t>TL120/W100/TL120</t>
  </si>
  <si>
    <t>T-3B00-0-TWT-48</t>
  </si>
  <si>
    <t>3B410A1</t>
  </si>
  <si>
    <t>TL135/W100/TL120</t>
  </si>
  <si>
    <t>T-3B00-0-TWT-49</t>
  </si>
  <si>
    <t>3B420A1</t>
  </si>
  <si>
    <t>TL135/W100/TL135</t>
  </si>
  <si>
    <t>T-3B00-0-TWT-50</t>
  </si>
  <si>
    <t>3B440A1</t>
  </si>
  <si>
    <t>TL135/W120/TL120</t>
  </si>
  <si>
    <t>T-3B00-0-TWT-51</t>
  </si>
  <si>
    <t>3B450A1</t>
  </si>
  <si>
    <t>TL135/W135/TL120</t>
  </si>
  <si>
    <t>T-3B00-0-TWT-52</t>
  </si>
  <si>
    <t>3B455A1</t>
  </si>
  <si>
    <t>T-3B00-0-TWT-53</t>
  </si>
  <si>
    <t>3B480A1</t>
  </si>
  <si>
    <t>TL170/W120/TL135</t>
  </si>
  <si>
    <t>T-3B00-0-TWT-54</t>
  </si>
  <si>
    <t>3B510A1</t>
  </si>
  <si>
    <t>TL160/W135/TL160</t>
  </si>
  <si>
    <t>505</t>
  </si>
  <si>
    <t>T-3B00-0-TWT-55</t>
  </si>
  <si>
    <t>3B530A1</t>
  </si>
  <si>
    <t>TL160/W160/TL135</t>
  </si>
  <si>
    <t>T-3B00-0-TWT-60</t>
  </si>
  <si>
    <t>fala B 310 g szara</t>
  </si>
  <si>
    <t>dako</t>
  </si>
  <si>
    <t>T-3B00-0-TWT-61</t>
  </si>
  <si>
    <t>fala B 350 g szara</t>
  </si>
  <si>
    <t>T-3B00-0-TWT-62</t>
  </si>
  <si>
    <t>fala B 390 g szara</t>
  </si>
  <si>
    <t>T-3B00-0-TWT-63</t>
  </si>
  <si>
    <t>fala B 425 g szara</t>
  </si>
  <si>
    <t>TL130/W120/TL120</t>
  </si>
  <si>
    <t>T-3B00-0-TWT-64</t>
  </si>
  <si>
    <t>fala B 460 g szara</t>
  </si>
  <si>
    <t>TL160/W120/TL130</t>
  </si>
  <si>
    <t>T-3B00-0-TWT-65</t>
  </si>
  <si>
    <t>falaB 510 g szara</t>
  </si>
  <si>
    <t>TL160/W130/TL160</t>
  </si>
  <si>
    <t>T-3B00-0-TWT-66</t>
  </si>
  <si>
    <t>B szara 480g</t>
  </si>
  <si>
    <t>TL160/W130/TL130</t>
  </si>
  <si>
    <t>T-3B00-0-TWT-70</t>
  </si>
  <si>
    <t>T-3B00-0-TWT-ST</t>
  </si>
  <si>
    <t>T-3B00-0-TWT-71</t>
  </si>
  <si>
    <t>T-3B00-0-TWT-72</t>
  </si>
  <si>
    <t>T-3B00-0-TWT-73</t>
  </si>
  <si>
    <t>TL135/W120/TL135</t>
  </si>
  <si>
    <t>T-3B00-0-TWT-74</t>
  </si>
  <si>
    <t>T-3B00-0-TWT-75</t>
  </si>
  <si>
    <t>T-3B00-0-TWW-10</t>
  </si>
  <si>
    <t>1.01 B</t>
  </si>
  <si>
    <t>TL90/W90/W90</t>
  </si>
  <si>
    <t>T-3B00-0-TWW-11</t>
  </si>
  <si>
    <t>1.01 B N2</t>
  </si>
  <si>
    <t>TL90/W80/W90</t>
  </si>
  <si>
    <t>T-3B00-0-WWW- 150</t>
  </si>
  <si>
    <t>3B0276EE</t>
  </si>
  <si>
    <t>FL080/FL080/FL080</t>
  </si>
  <si>
    <t>T-3B00-0-WWW-11</t>
  </si>
  <si>
    <t>0.01 B N1</t>
  </si>
  <si>
    <t>W80/W80/W80</t>
  </si>
  <si>
    <t>T-3B00-0-WWW-12</t>
  </si>
  <si>
    <t>0.01 B N3</t>
  </si>
  <si>
    <t>W70/W70/W70</t>
  </si>
  <si>
    <t>T-3B00-0-WWW-40</t>
  </si>
  <si>
    <t>3B280B1</t>
  </si>
  <si>
    <t>T-3B00-0-WWW-60</t>
  </si>
  <si>
    <t>B szara 280g</t>
  </si>
  <si>
    <t>T-3B00-0-WWW-90</t>
  </si>
  <si>
    <t>3B250B1</t>
  </si>
  <si>
    <t>W80/KLB60/W80 *</t>
  </si>
  <si>
    <t>T-3B00-1-EWT-90</t>
  </si>
  <si>
    <t>3B380B2</t>
  </si>
  <si>
    <t>KLW135/W90/TL120 *</t>
  </si>
  <si>
    <t>T-3B00-1-EWT-91</t>
  </si>
  <si>
    <t>3B490B2</t>
  </si>
  <si>
    <t>KLW135/W135/TL170 *</t>
  </si>
  <si>
    <t>T-3B00-1-PWT-70</t>
  </si>
  <si>
    <t>T-3B00-1-PWT-ST</t>
  </si>
  <si>
    <t>PWTL160/W135/TL135</t>
  </si>
  <si>
    <t>T-3B00-1-TWT- 10</t>
  </si>
  <si>
    <t>1.15 B</t>
  </si>
  <si>
    <t xml:space="preserve"> WTL120/W90/TL90</t>
  </si>
  <si>
    <t>T-3B00-1-TWT- 150</t>
  </si>
  <si>
    <t>3B0339BA</t>
  </si>
  <si>
    <t>TW120/FL090/TB090</t>
  </si>
  <si>
    <t>T-3B00-1-TWT- 151</t>
  </si>
  <si>
    <t>3B0362BA</t>
  </si>
  <si>
    <t>TW120/FL100/TB100</t>
  </si>
  <si>
    <t>T-3B00-1-TWT- 152</t>
  </si>
  <si>
    <t>3B0382BA</t>
  </si>
  <si>
    <t>TW120/FL100/TB120</t>
  </si>
  <si>
    <t>T-3B00-1-TWT- 153</t>
  </si>
  <si>
    <t>3B0408BA</t>
  </si>
  <si>
    <t>TW120/FL120/TB120</t>
  </si>
  <si>
    <t>T-3B00-1-TWT- 154</t>
  </si>
  <si>
    <t>3B0448BA</t>
  </si>
  <si>
    <t>TW140/FL120/TB140</t>
  </si>
  <si>
    <t>T-3B00-1-TWT- 155</t>
  </si>
  <si>
    <t>3B0474BA</t>
  </si>
  <si>
    <t>TW140/FL140/TB140</t>
  </si>
  <si>
    <t>T-3B00-1-TWT- 156</t>
  </si>
  <si>
    <t>3B0524BA</t>
  </si>
  <si>
    <t>TW160/FL140/TB170</t>
  </si>
  <si>
    <t>T-3B00-1-TWT-11</t>
  </si>
  <si>
    <t>1.15 B X5</t>
  </si>
  <si>
    <t>WTL120/W90/TL115</t>
  </si>
  <si>
    <t>T-3B00-1-TWT-12</t>
  </si>
  <si>
    <t>1.25 B</t>
  </si>
  <si>
    <t xml:space="preserve"> WTL135/W90/TL135</t>
  </si>
  <si>
    <t>T-3B00-1-TWT-14</t>
  </si>
  <si>
    <t>1.25 B N7</t>
  </si>
  <si>
    <t xml:space="preserve"> WTL135/W115/TL135</t>
  </si>
  <si>
    <t>T-3B00-1-TWT-15</t>
  </si>
  <si>
    <t>1.25 B W6</t>
  </si>
  <si>
    <t>WTL135/W135/TL135</t>
  </si>
  <si>
    <t>T-3B00-1-TWT-16</t>
  </si>
  <si>
    <t>1.55 B X6</t>
  </si>
  <si>
    <t>WTL160/W135/TL170</t>
  </si>
  <si>
    <t>T-3B00-1-TWT-41</t>
  </si>
  <si>
    <t>3B360A2</t>
  </si>
  <si>
    <t xml:space="preserve"> WTL125/W100/TL100</t>
  </si>
  <si>
    <t>T-3B00-1-TWT-42</t>
  </si>
  <si>
    <t>3B420A2</t>
  </si>
  <si>
    <t>WTL125/W120/TL120</t>
  </si>
  <si>
    <t>T-3B00-1-TWT-43</t>
  </si>
  <si>
    <t>3B340A2</t>
  </si>
  <si>
    <t>WTL125/W90/TL90</t>
  </si>
  <si>
    <t>T-3B00-1-TWT-44</t>
  </si>
  <si>
    <t>3B390A2</t>
  </si>
  <si>
    <t>WTL125/W100/TL120</t>
  </si>
  <si>
    <t>T-3B00-1-TWT-45</t>
  </si>
  <si>
    <t>3B450A2</t>
  </si>
  <si>
    <t>WTL140/W120/TL135</t>
  </si>
  <si>
    <t>T-3B00-1-TWT-46</t>
  </si>
  <si>
    <t>3B480A2</t>
  </si>
  <si>
    <t>WTL140/W135/TL135</t>
  </si>
  <si>
    <t>T-3B00-1-TWT-47</t>
  </si>
  <si>
    <t>3B485A2</t>
  </si>
  <si>
    <t>WTL160/W135/TL135</t>
  </si>
  <si>
    <t>T-3B00-1-TWT-48</t>
  </si>
  <si>
    <t>3B530A2</t>
  </si>
  <si>
    <t>T-3B00-1-TWT-60</t>
  </si>
  <si>
    <t>fala B 390 g j.bielona</t>
  </si>
  <si>
    <t>T-3B00-1-TWT-61</t>
  </si>
  <si>
    <t>fala B 440 g j.bielona</t>
  </si>
  <si>
    <t>WTL140/W120/TL130</t>
  </si>
  <si>
    <t>T-3B00-1-TWT-62</t>
  </si>
  <si>
    <t>fala B 470 g j.bielona</t>
  </si>
  <si>
    <t>WTL160/W120/TL130</t>
  </si>
  <si>
    <t>T-3B00-1-TWT-63</t>
  </si>
  <si>
    <t>B j. bielona 370g</t>
  </si>
  <si>
    <t>WTL120/W100/TL100</t>
  </si>
  <si>
    <t>T-3B00-1-TWT-64</t>
  </si>
  <si>
    <t>B j. bielona 415 g</t>
  </si>
  <si>
    <t>WTL140/W100/TL130</t>
  </si>
  <si>
    <t>T-3B00-1-TWT-65</t>
  </si>
  <si>
    <t>B j. bielona 510 g</t>
  </si>
  <si>
    <t>WTL160/W130/TL160</t>
  </si>
  <si>
    <t>T-3B00-1-TWT-70</t>
  </si>
  <si>
    <t>T-3B00-1-TWT-ST</t>
  </si>
  <si>
    <t>T-3B00-1-TWT-71</t>
  </si>
  <si>
    <t>WTL120/W100/TL120</t>
  </si>
  <si>
    <t>T-3B00-1-TWT-72</t>
  </si>
  <si>
    <t>WTL140/W120/TL120</t>
  </si>
  <si>
    <t>T-3B00-1-TWT-73</t>
  </si>
  <si>
    <t>T-3B00-2-PWT-12</t>
  </si>
  <si>
    <t>1.36 B C2</t>
  </si>
  <si>
    <t>PWTL160/W115/WTL120</t>
  </si>
  <si>
    <t>T-3B00-2-PWT-40</t>
  </si>
  <si>
    <t>3B505C3</t>
  </si>
  <si>
    <t>PWTL160/W135/WTL160</t>
  </si>
  <si>
    <t>T-3B00-2-PWT-41</t>
  </si>
  <si>
    <t>3B495C3</t>
  </si>
  <si>
    <t>PWTL160/W120/WTL140</t>
  </si>
  <si>
    <t>T-3B00-2-PWT-70</t>
  </si>
  <si>
    <t>T-3B00-2-PWT-ST</t>
  </si>
  <si>
    <t>PWTL140/W120/WTL120</t>
  </si>
  <si>
    <t>T-3B00-2-PWT-71</t>
  </si>
  <si>
    <t>PWTL160/W100/WTL140</t>
  </si>
  <si>
    <t>T-3B00-2-PWT-72</t>
  </si>
  <si>
    <t>PWTL140/W135/WTL135</t>
  </si>
  <si>
    <t>T-3B00-2-TWT-60</t>
  </si>
  <si>
    <t>B d. bielona 385g</t>
  </si>
  <si>
    <t>WTL125/W100/WTL125</t>
  </si>
  <si>
    <t>T-3B00-2-TWT-61</t>
  </si>
  <si>
    <t>fala B 470 g d.bielona</t>
  </si>
  <si>
    <t>WTL160/W120/WTL140*</t>
  </si>
  <si>
    <t>470</t>
  </si>
  <si>
    <t>T-3B00-2-TWT-70</t>
  </si>
  <si>
    <t>T-3B00-2-TWT-ST</t>
  </si>
  <si>
    <t>WTL120/W100/WTL120</t>
  </si>
  <si>
    <t>T-3C00-0-ESE-70</t>
  </si>
  <si>
    <t>T-3C00-0-ESE-ST</t>
  </si>
  <si>
    <t>T-3C00-0-EWE-70</t>
  </si>
  <si>
    <t>T-3C00-0-EWE-ST</t>
  </si>
  <si>
    <t>T-3C00-0-EWT-12</t>
  </si>
  <si>
    <t>1.30 C</t>
  </si>
  <si>
    <t>PLK140/W90/TL135</t>
  </si>
  <si>
    <t>T-3C00-0-EWT-70</t>
  </si>
  <si>
    <t>T-3C00-0-EWT-ST</t>
  </si>
  <si>
    <t>KTL135/W120/TL120</t>
  </si>
  <si>
    <t>T-3C00-0-EWT-71</t>
  </si>
  <si>
    <t>T-3C00-0-EWT-72</t>
  </si>
  <si>
    <t>KTL170/W135/TL170</t>
  </si>
  <si>
    <t>T-3C00-0-EWT-73</t>
  </si>
  <si>
    <t>KTL170/W160/TL170</t>
  </si>
  <si>
    <t>T-3C00-0-EWT-90</t>
  </si>
  <si>
    <t>3C460A1</t>
  </si>
  <si>
    <t>T-3C00-0-KSK-10</t>
  </si>
  <si>
    <t>1.43 C W9</t>
  </si>
  <si>
    <t>KL175/PMK150/KL175</t>
  </si>
  <si>
    <t>T-3C00-0-KSK-70</t>
  </si>
  <si>
    <t>T-3C00-0-KSK-ST</t>
  </si>
  <si>
    <t>KL170/SC160/KL170</t>
  </si>
  <si>
    <t>T-3C00-0-KWE-10</t>
  </si>
  <si>
    <t>1.41 C</t>
  </si>
  <si>
    <t>T-3C00-0-KWK-10</t>
  </si>
  <si>
    <t>1.43 C</t>
  </si>
  <si>
    <t>KL175/W135/KL175</t>
  </si>
  <si>
    <t>T-3C00-0-KWT- 10</t>
  </si>
  <si>
    <t>1.31 C</t>
  </si>
  <si>
    <t>T-3C00-0-TWT-  49</t>
  </si>
  <si>
    <t>3C455A1</t>
  </si>
  <si>
    <t>T-3C00-0-TWT- 150</t>
  </si>
  <si>
    <t>3C0356AA</t>
  </si>
  <si>
    <t>TB120/FL090/TB100</t>
  </si>
  <si>
    <t>T-3C00-0-TWT- 151</t>
  </si>
  <si>
    <t>3C0370AA</t>
  </si>
  <si>
    <t>T-3C00-0-TWT- 152</t>
  </si>
  <si>
    <t>3C0390AA</t>
  </si>
  <si>
    <t>T-3C00-0-TWT- 153</t>
  </si>
  <si>
    <t>3C0410AA</t>
  </si>
  <si>
    <t>T-3C00-0-TWT- 154</t>
  </si>
  <si>
    <t>3C0430AA</t>
  </si>
  <si>
    <t>T-3C00-0-TWT- 155</t>
  </si>
  <si>
    <t>3C0466AA</t>
  </si>
  <si>
    <t>T-3C00-0-TWT- 156</t>
  </si>
  <si>
    <t>3C0488AA</t>
  </si>
  <si>
    <t>T-3C00-0-TWT- 157</t>
  </si>
  <si>
    <t>3C0518AA</t>
  </si>
  <si>
    <t>T-3C00-0-TWT- 158</t>
  </si>
  <si>
    <t>3C0546AA</t>
  </si>
  <si>
    <t>TB170/FL140/TB170</t>
  </si>
  <si>
    <t>T-3C00-0-TWT-11</t>
  </si>
  <si>
    <t>1.03 C</t>
  </si>
  <si>
    <t>T-3C00-0-TWT-12</t>
  </si>
  <si>
    <t>1.03 C W6</t>
  </si>
  <si>
    <t>T-3C00-0-TWT-13</t>
  </si>
  <si>
    <t>1.03 C W7</t>
  </si>
  <si>
    <t>T-3C00-0-TWT-14</t>
  </si>
  <si>
    <t>1.04 C W7</t>
  </si>
  <si>
    <t>TL135/W115/TL135</t>
  </si>
  <si>
    <t>T-3C00-0-TWT-15</t>
  </si>
  <si>
    <t>1.05 C</t>
  </si>
  <si>
    <t>T-3C00-0-TWT-16</t>
  </si>
  <si>
    <t>1.05 C W6</t>
  </si>
  <si>
    <t>T-3C00-0-TWT-40</t>
  </si>
  <si>
    <t>3C340A1</t>
  </si>
  <si>
    <t>T-3C00-0-TWT-41</t>
  </si>
  <si>
    <t>3C350A1</t>
  </si>
  <si>
    <t>T-3C00-0-TWT-42</t>
  </si>
  <si>
    <t>3C355A1</t>
  </si>
  <si>
    <t>T-3C00-0-TWT-43</t>
  </si>
  <si>
    <t>3C390A1</t>
  </si>
  <si>
    <t>T-3C00-0-TWT-44</t>
  </si>
  <si>
    <t>3C410A1</t>
  </si>
  <si>
    <t>T-3C00-0-TWT-45</t>
  </si>
  <si>
    <t>3C420A1</t>
  </si>
  <si>
    <t>T-3C00-0-TWT-46</t>
  </si>
  <si>
    <t>3C440A1</t>
  </si>
  <si>
    <t>T-3C00-0-TWT-47</t>
  </si>
  <si>
    <t>3C450A1</t>
  </si>
  <si>
    <t>T-3C00-0-TWT-48</t>
  </si>
  <si>
    <t>3C480A1</t>
  </si>
  <si>
    <t>T-3C00-0-TWT-49</t>
  </si>
  <si>
    <t>T-3C00-0-TWT-50</t>
  </si>
  <si>
    <t>3C510A1</t>
  </si>
  <si>
    <t>T-3C00-0-TWT-51</t>
  </si>
  <si>
    <t>3C530A1</t>
  </si>
  <si>
    <t>T-3C00-0-TWT-60</t>
  </si>
  <si>
    <t>fala C 355 g szara</t>
  </si>
  <si>
    <t>T-3C00-0-TWT-61</t>
  </si>
  <si>
    <t>fala C 395 g szara</t>
  </si>
  <si>
    <t>T-3C00-0-TWT-62</t>
  </si>
  <si>
    <t>fala C 440 g szara</t>
  </si>
  <si>
    <t>T-3C00-0-TWT-63</t>
  </si>
  <si>
    <t>fala C 475 g szara</t>
  </si>
  <si>
    <t>T-3C00-0-TWT-65</t>
  </si>
  <si>
    <t>fala C 525 g szara</t>
  </si>
  <si>
    <t>T-3C00-0-TWT-70</t>
  </si>
  <si>
    <t>T-3C00-0-TWT-ST</t>
  </si>
  <si>
    <t>T-3C00-0-TWT-71</t>
  </si>
  <si>
    <t>T-3C00-0-TWT-72</t>
  </si>
  <si>
    <t>T-3C00-0-TWT-73</t>
  </si>
  <si>
    <t>T-3C00-0-TWT-74</t>
  </si>
  <si>
    <t>T-3C00-0-TWT-75</t>
  </si>
  <si>
    <t>T-3C00-0-TWT-76</t>
  </si>
  <si>
    <t>T-3C00-1-TWT-150</t>
  </si>
  <si>
    <t>3C0390BA</t>
  </si>
  <si>
    <t>T-3C00-1-TWT-151</t>
  </si>
  <si>
    <t>3C0458BA</t>
  </si>
  <si>
    <t>T-3C00-1-TWT-152</t>
  </si>
  <si>
    <t>3C0486BA</t>
  </si>
  <si>
    <t>T-3C00-1-TWT-153</t>
  </si>
  <si>
    <t>3C0506BA</t>
  </si>
  <si>
    <t>TW160/FL140/TB140</t>
  </si>
  <si>
    <t>T-3C00-1-TWT-41</t>
  </si>
  <si>
    <t>3C450A2</t>
  </si>
  <si>
    <t>T-3C00-1-TWT-42</t>
  </si>
  <si>
    <t>3C390A2</t>
  </si>
  <si>
    <t>T-3C00-1-TWT-43</t>
  </si>
  <si>
    <t>3C480A2</t>
  </si>
  <si>
    <t>T-3C00-1-TWT-44</t>
  </si>
  <si>
    <t>3C530A2</t>
  </si>
  <si>
    <t>T-3C00-1-TWT-60</t>
  </si>
  <si>
    <t>fala C 400 g j.bielona</t>
  </si>
  <si>
    <t>WTL125/W100/TL120*</t>
  </si>
  <si>
    <t>T-3C00-1-TWT-70</t>
  </si>
  <si>
    <t>T-3C00-1-TWT-ST</t>
  </si>
  <si>
    <t>T-3C00-1-TWT-71</t>
  </si>
  <si>
    <t>WTL140/W135/TL170</t>
  </si>
  <si>
    <t>T-3E11-0-ESE-70</t>
  </si>
  <si>
    <t>T-3E11-0-ESE-ST</t>
  </si>
  <si>
    <t>T-3E11-0-EWE-70</t>
  </si>
  <si>
    <t>T-3E11-0-EWE-ST</t>
  </si>
  <si>
    <t>KTL135/W100/KTL135</t>
  </si>
  <si>
    <t>T-3E11-0-EWT-40</t>
  </si>
  <si>
    <t>3E385A1</t>
  </si>
  <si>
    <t>T-3E11-0-KWT- 10</t>
  </si>
  <si>
    <t>1.31 E W2</t>
  </si>
  <si>
    <t>KL135/W90/TL135</t>
  </si>
  <si>
    <t>T-3E11-0-TWT- 10</t>
  </si>
  <si>
    <t>1.02 E</t>
  </si>
  <si>
    <t>TL115/W70/TL115</t>
  </si>
  <si>
    <t>T-3E11-0-TWT-11</t>
  </si>
  <si>
    <t>1.02 E W2</t>
  </si>
  <si>
    <t>TL115/W90/ TL115</t>
  </si>
  <si>
    <t>T-3E11-0-TWT-12</t>
  </si>
  <si>
    <t>1.03 E</t>
  </si>
  <si>
    <t>TL135/W70/TL115</t>
  </si>
  <si>
    <t>T-3E11-0-TWT-13</t>
  </si>
  <si>
    <t>1.03 E W2</t>
  </si>
  <si>
    <t>T-3E11-0-TWT-150</t>
  </si>
  <si>
    <t>3E0293AA</t>
  </si>
  <si>
    <t>T-3E11-0-TWT-151</t>
  </si>
  <si>
    <t>3E0338AA</t>
  </si>
  <si>
    <t>T-3E11-0-TWT-152</t>
  </si>
  <si>
    <t>3E0378AA</t>
  </si>
  <si>
    <t>T-3E11-0-TWT-153</t>
  </si>
  <si>
    <t>3E0418AA</t>
  </si>
  <si>
    <t>T-3E11-0-TWT-154</t>
  </si>
  <si>
    <t>3E0366AA</t>
  </si>
  <si>
    <t>TB120/FL90/TB120</t>
  </si>
  <si>
    <t>T-3E11-0-TWT-40</t>
  </si>
  <si>
    <t>3E320A1</t>
  </si>
  <si>
    <t>T-3E11-0-TWT-41</t>
  </si>
  <si>
    <t>3E340A1</t>
  </si>
  <si>
    <t>T-3E11-0-TWT-42</t>
  </si>
  <si>
    <t>3E380A1</t>
  </si>
  <si>
    <t>T-3E11-0-TWT-44</t>
  </si>
  <si>
    <t>3E285A1</t>
  </si>
  <si>
    <t>T-3E11-0-TWT-60</t>
  </si>
  <si>
    <t>fala E 330 g szara</t>
  </si>
  <si>
    <t>T-3E11-0-TWT-61</t>
  </si>
  <si>
    <t>fala E 380 g szara</t>
  </si>
  <si>
    <t>T-3E11-0-TWT-62</t>
  </si>
  <si>
    <t>fala E 460 g szara</t>
  </si>
  <si>
    <t>T-3E11-0-TWT-70</t>
  </si>
  <si>
    <t>T-3E11-0-TWT-ST</t>
  </si>
  <si>
    <t>T-3E11-0-TWT-71</t>
  </si>
  <si>
    <t>T-3E11-0-TWT-72</t>
  </si>
  <si>
    <t>T-3E11-1-PWT-10</t>
  </si>
  <si>
    <t>1.36 E L1</t>
  </si>
  <si>
    <t>PWTL/160/W90/TL/135</t>
  </si>
  <si>
    <t>T-3E11-1-PWT-70</t>
  </si>
  <si>
    <t>T-3E11-1-PWT-ST</t>
  </si>
  <si>
    <t>PWTL160/W100/TL135</t>
  </si>
  <si>
    <t>T-3E11-1-PWT-90</t>
  </si>
  <si>
    <t>3E475C2</t>
  </si>
  <si>
    <t>PWTL160/W100/TL135 *</t>
  </si>
  <si>
    <t>T-3E11-1-TWT-  42</t>
  </si>
  <si>
    <t>3E380A2</t>
  </si>
  <si>
    <t>T-3E11-1-TWT- 10</t>
  </si>
  <si>
    <t>1.15 E</t>
  </si>
  <si>
    <t>WTL120/W70/TL90</t>
  </si>
  <si>
    <t>T-3E11-1-TWT- 154</t>
  </si>
  <si>
    <t>3E0366BA</t>
  </si>
  <si>
    <t>TW120/FL90/TB120</t>
  </si>
  <si>
    <t>T-3E11-1-TWT-11</t>
  </si>
  <si>
    <t>1.25 E</t>
  </si>
  <si>
    <t>WTL135/W70/TL135</t>
  </si>
  <si>
    <t>T-3E11-1-TWT-150</t>
  </si>
  <si>
    <t>3E0336BA</t>
  </si>
  <si>
    <t>T-3E11-1-TWT-151</t>
  </si>
  <si>
    <t>3E0358BA</t>
  </si>
  <si>
    <t>T-3E11-1-TWT-152</t>
  </si>
  <si>
    <t>3E0378BA</t>
  </si>
  <si>
    <t>T-3E11-1-TWT-153</t>
  </si>
  <si>
    <t>3E0398BA</t>
  </si>
  <si>
    <t>TW140/FL100/TB120</t>
  </si>
  <si>
    <t>T-3E11-1-TWT-40</t>
  </si>
  <si>
    <t>3E340A2</t>
  </si>
  <si>
    <t>T-3E11-1-TWT-41</t>
  </si>
  <si>
    <t>3E350A2</t>
  </si>
  <si>
    <t>WTL125/W100/TL100</t>
  </si>
  <si>
    <t>T-3E11-1-TWT-43</t>
  </si>
  <si>
    <t>3E400A2</t>
  </si>
  <si>
    <t>WTL140/W100/TL120</t>
  </si>
  <si>
    <t>T-3E11-1-TWT-44</t>
  </si>
  <si>
    <t>3E440A2</t>
  </si>
  <si>
    <t>WTL160/W120/TL135</t>
  </si>
  <si>
    <t>T-3E11-1-TWT-60</t>
  </si>
  <si>
    <t>fala E 350 g j.bielona</t>
  </si>
  <si>
    <t>T-3E11-1-TWT-61</t>
  </si>
  <si>
    <t>fala E 380 g j.bielona</t>
  </si>
  <si>
    <t>T-3E11-1-TWT-62</t>
  </si>
  <si>
    <t>fala E 460 g j.bielona</t>
  </si>
  <si>
    <t>WTL160/W120/TL130*</t>
  </si>
  <si>
    <t>T-3E11-1-TWT-63</t>
  </si>
  <si>
    <t>fala E 395 g  j. bielona</t>
  </si>
  <si>
    <t>WTL125/W100/TL135</t>
  </si>
  <si>
    <t>T-3E11-1-TWT-70</t>
  </si>
  <si>
    <t>T-3E11-1-TWT-ST</t>
  </si>
  <si>
    <t>WTL120/W120/TL100</t>
  </si>
  <si>
    <t>T-3E11-1-TWT-71</t>
  </si>
  <si>
    <t>T-3E11-1-TWT-72</t>
  </si>
  <si>
    <t xml:space="preserve"> WTL120/W100/TL135</t>
  </si>
  <si>
    <t>T-3E11-2-PWT-10</t>
  </si>
  <si>
    <t>1.39 E L6</t>
  </si>
  <si>
    <t>PWTL160/W135/WTL135</t>
  </si>
  <si>
    <t>T-3E11-2-PWT-70</t>
  </si>
  <si>
    <t>T-3E11-2-PWT-ST</t>
  </si>
  <si>
    <t>PWTL160/W120/WTL120</t>
  </si>
  <si>
    <t>T-3E11-2-TWT-60</t>
  </si>
  <si>
    <t>fala E 385 g d.bielona</t>
  </si>
  <si>
    <t>T-3E11-2-TWT-70</t>
  </si>
  <si>
    <t>T-3E11-2-TWT-ST</t>
  </si>
  <si>
    <t>T-3E11-2-TWT-90</t>
  </si>
  <si>
    <t>3E390A3</t>
  </si>
  <si>
    <t>WTL125/W100/WTL125 *</t>
  </si>
  <si>
    <t>T-3E11-2-TWT-91</t>
  </si>
  <si>
    <t>3E375A3</t>
  </si>
  <si>
    <t>WTL125/W90/WTL125 *</t>
  </si>
  <si>
    <t>T-5AC0-0-AKW-10</t>
  </si>
  <si>
    <t>2.92 AC</t>
  </si>
  <si>
    <t>KL400/PMK140/PMK175/PMK140/KL400</t>
  </si>
  <si>
    <t>AC</t>
  </si>
  <si>
    <t>T-5AC0-0-KSK-10</t>
  </si>
  <si>
    <t>2.90 AC</t>
  </si>
  <si>
    <t>KL280/PMS140/PLK140/PMS140/KL280</t>
  </si>
  <si>
    <t>T-5AC0-0-KSK-11</t>
  </si>
  <si>
    <t>2.91 AC</t>
  </si>
  <si>
    <t>KL280/PMS140/KL280/PMS140/KL280</t>
  </si>
  <si>
    <t>T-5BC0-0-EWE-10</t>
  </si>
  <si>
    <t>2.50 BC N2</t>
  </si>
  <si>
    <t>PLK175/W80/W90/W115/PLK140</t>
  </si>
  <si>
    <t>T-5BC0-0-EWE-11</t>
  </si>
  <si>
    <t>2.60 BC N2</t>
  </si>
  <si>
    <t>PLK175/W80/W90/W115/PLK175</t>
  </si>
  <si>
    <t>T-5BC0-0-EWE-12</t>
  </si>
  <si>
    <t>2.70 BC N2</t>
  </si>
  <si>
    <t>PLK175/W115/TL115/W135/PLK175</t>
  </si>
  <si>
    <t>T-5BC0-0-EWE-70</t>
  </si>
  <si>
    <t>T-5BC0-0-EWE-ST</t>
  </si>
  <si>
    <t>KTL170/W120/W120/W120/KTL170</t>
  </si>
  <si>
    <t>T-5BC0-0-EWE-90</t>
  </si>
  <si>
    <t>5BC750A1</t>
  </si>
  <si>
    <t>KTL160/W100/W100/W120/KTL160 *</t>
  </si>
  <si>
    <t>T-5BC0-0-EWT-11</t>
  </si>
  <si>
    <t>2.40 BC N2</t>
  </si>
  <si>
    <t>PLK140/W80/W90/W115/TL135</t>
  </si>
  <si>
    <t>T-5BC0-0-EWT-40</t>
  </si>
  <si>
    <t>5BC710A1</t>
  </si>
  <si>
    <t>KTL135/W100/W120/W120/TL135</t>
  </si>
  <si>
    <t>T-5BC0-0-KSK-10</t>
  </si>
  <si>
    <t>2.71 BC N1</t>
  </si>
  <si>
    <t>KL175/W135/TL115/PMS140/KL175</t>
  </si>
  <si>
    <t>2.90 BC</t>
  </si>
  <si>
    <t>T-5BC0-0-KSK-12</t>
  </si>
  <si>
    <t>2.90 BC X9</t>
  </si>
  <si>
    <t>KL280/W135/TL115/PMS140/KL280</t>
  </si>
  <si>
    <t>T-5BC0-0-KSK-13</t>
  </si>
  <si>
    <t>2.81 BC</t>
  </si>
  <si>
    <t>KL280/W135/PLK140/PMS140/KL175</t>
  </si>
  <si>
    <t>T-5BC0-0-KSK-14</t>
  </si>
  <si>
    <t>2.91 BC</t>
  </si>
  <si>
    <t>T-5BC0-0-KWT- 10</t>
  </si>
  <si>
    <t>2.41 BC N1</t>
  </si>
  <si>
    <t>KL135/W80/W90/W135/TL135</t>
  </si>
  <si>
    <t>T-5BC0-0-KWT-11</t>
  </si>
  <si>
    <t>2.51 BC Q1</t>
  </si>
  <si>
    <t>KL175/W80/W90/W135/TL170</t>
  </si>
  <si>
    <t>T-5BC0-0-TMT-70</t>
  </si>
  <si>
    <t>T-5BC0-0-TMT-ST</t>
  </si>
  <si>
    <t>TL100/SCHR80/SCHR80/SCHR80/TL100</t>
  </si>
  <si>
    <t>T-5BC0-0-TMT-71</t>
  </si>
  <si>
    <t>TL120/SCHR80/W100/W100/TL100</t>
  </si>
  <si>
    <t>T-5BC0-0-TWT- 150</t>
  </si>
  <si>
    <t>5BC0498AA</t>
  </si>
  <si>
    <t>TB090/FL080/FL080/FL080/TB090</t>
  </si>
  <si>
    <t>T-5BC0-0-TWT- 151</t>
  </si>
  <si>
    <t>5BC0595AA</t>
  </si>
  <si>
    <t>TB120/FL090/FL090/FL090/TB120</t>
  </si>
  <si>
    <t>T-5BC0-0-TWT- 152</t>
  </si>
  <si>
    <t>5BC0642AA</t>
  </si>
  <si>
    <t>TB140/FL100/FL090/FL100/TB120</t>
  </si>
  <si>
    <t>T-5BC0-0-TWT- 153</t>
  </si>
  <si>
    <t>5BC0700AA</t>
  </si>
  <si>
    <t>TB140/FL100/FL100/FL120/TB140</t>
  </si>
  <si>
    <t>T-5BC0-0-TWT- 154</t>
  </si>
  <si>
    <t>5BC0720AA</t>
  </si>
  <si>
    <t>TB140/FL100/FL120/FL120/TB140</t>
  </si>
  <si>
    <t>T-5BC0-0-TWT- 155</t>
  </si>
  <si>
    <t>5BC0784AA</t>
  </si>
  <si>
    <t>TB170/FL120/FL100/FL140/TB140</t>
  </si>
  <si>
    <t>T-5BC0-0-TWT- 156</t>
  </si>
  <si>
    <t>5BC0880AA</t>
  </si>
  <si>
    <t>TB170/FL140/FL140/FL140/TB170</t>
  </si>
  <si>
    <t>T-5BC0-0-TWT- 157</t>
  </si>
  <si>
    <t>5BC0555AA</t>
  </si>
  <si>
    <t>TB100/FL090/FL100/FL090/TB090</t>
  </si>
  <si>
    <t>T-5BC0-0-TWT-11</t>
  </si>
  <si>
    <t>2.03 BC N2</t>
  </si>
  <si>
    <t>TL115/W80/W90/W90/TL90</t>
  </si>
  <si>
    <t>T-5BC0-0-TWT-12</t>
  </si>
  <si>
    <t>2.04 BC N2</t>
  </si>
  <si>
    <t>TL135/W80/W90/W115/TL135</t>
  </si>
  <si>
    <t>T-5BC0-0-TWT-13</t>
  </si>
  <si>
    <t>2.04 BC N6</t>
  </si>
  <si>
    <t>TL135/W80/W90/W135/TL135</t>
  </si>
  <si>
    <t>T-5BC0-0-TWT-15</t>
  </si>
  <si>
    <t>2.05 BC N2</t>
  </si>
  <si>
    <t>TL170/W80/W90/W115/TL170</t>
  </si>
  <si>
    <t>2.05 BC N6</t>
  </si>
  <si>
    <t>TL170/W80/W90/W135/TL170</t>
  </si>
  <si>
    <t>T-5BC0-0-TWT-19</t>
  </si>
  <si>
    <t>2.30 BC N2</t>
  </si>
  <si>
    <t>TL135/W80/W90/W90/TL115</t>
  </si>
  <si>
    <t>5BC580A1</t>
  </si>
  <si>
    <t>TL135/W90/W90/W90/TL100</t>
  </si>
  <si>
    <t>T-5BC0-0-TWT-41</t>
  </si>
  <si>
    <t>5BC640A1</t>
  </si>
  <si>
    <t>TL135/W100/W90/W100/TL120</t>
  </si>
  <si>
    <t>T-5BC0-0-TWT-42</t>
  </si>
  <si>
    <t>5BC690A1</t>
  </si>
  <si>
    <t>TL135/W100/W100/W120/TL135</t>
  </si>
  <si>
    <t>T-5BC0-0-TWT-43</t>
  </si>
  <si>
    <t>5BC480A1</t>
  </si>
  <si>
    <t>TL90/W80/W80/W80/TL90</t>
  </si>
  <si>
    <t>T-5BC0-0-TWT-45</t>
  </si>
  <si>
    <t>5BC800A1</t>
  </si>
  <si>
    <t>TL170/W120/W100/W135/TL135</t>
  </si>
  <si>
    <t>T-5BC0-0-TWT-46</t>
  </si>
  <si>
    <t>5BC880A1</t>
  </si>
  <si>
    <t>TL170/W135/W135/W135/TL170</t>
  </si>
  <si>
    <t>T-5BC0-0-TWT-47</t>
  </si>
  <si>
    <t>5BC555B1</t>
  </si>
  <si>
    <t>TL120/W90/W90/W90/TL90</t>
  </si>
  <si>
    <t>T-5BC0-0-TWT-60</t>
  </si>
  <si>
    <t>fala BC 560 g szara</t>
  </si>
  <si>
    <t>TL100/W90/W90/W90/TL100</t>
  </si>
  <si>
    <t>T-5BC0-0-TWT-61</t>
  </si>
  <si>
    <t>fala BC 650 g szara</t>
  </si>
  <si>
    <t>TL130/W100/W100/W100/TL120</t>
  </si>
  <si>
    <t>T-5BC0-0-TWT-62</t>
  </si>
  <si>
    <t>fala BC 730 g szara</t>
  </si>
  <si>
    <t>TL160/W100/W100/W100/TL160</t>
  </si>
  <si>
    <t>T-5BC0-0-TWT-63</t>
  </si>
  <si>
    <t>BC szara 690g</t>
  </si>
  <si>
    <t>TL160/W100/W100/W100/TL130</t>
  </si>
  <si>
    <t>T-5BC0-0-TWT-70</t>
  </si>
  <si>
    <t>T-5BC0-0-TWT-ST</t>
  </si>
  <si>
    <t>TL120/W100/W100/W100/TL120</t>
  </si>
  <si>
    <t>T-5BC0-0-TWT-71</t>
  </si>
  <si>
    <t>T-5BC0-0-TWT-72</t>
  </si>
  <si>
    <t>TL135/W120/W120/W120/TL170</t>
  </si>
  <si>
    <t>T-5BC0-0-TWW-10</t>
  </si>
  <si>
    <t>2.02 BC N2</t>
  </si>
  <si>
    <t>TL90/W80/W90/W80/W90</t>
  </si>
  <si>
    <t>T-5BC0-1-TWT-150</t>
  </si>
  <si>
    <t>5BC0642BA</t>
  </si>
  <si>
    <t>TW140/FL100/FL090/FL100/TB120</t>
  </si>
  <si>
    <t>T-5BC0-1-TWT-60</t>
  </si>
  <si>
    <t>fala BC 670 g j.bielona</t>
  </si>
  <si>
    <t>WTL140/W100/W100/W100/TL130</t>
  </si>
  <si>
    <t>T-5BC0-1-TWT-70</t>
  </si>
  <si>
    <t>T-5BC0-1-TWT-ST</t>
  </si>
  <si>
    <t>WTL120/W100/W100/W100/TL120</t>
  </si>
  <si>
    <t>T-5BC0-1-TWT-71</t>
  </si>
  <si>
    <t>WTL140/W120/W120/W120/TL170</t>
  </si>
  <si>
    <t>T-5BC0-1-TWT-90</t>
  </si>
  <si>
    <t>5BC640B2</t>
  </si>
  <si>
    <t>WTL140/W100/W90/W100/TL120 *</t>
  </si>
  <si>
    <t>T-5BC0-1-TWT-91</t>
  </si>
  <si>
    <t>5BC690A2</t>
  </si>
  <si>
    <t>WTL140/W100/W100/W120/TL135 *</t>
  </si>
  <si>
    <t>T-5EB0-0-EHE-70</t>
  </si>
  <si>
    <t>T-5EB0-0-EHE-ST</t>
  </si>
  <si>
    <t>KTL135/W135/W120/HP140/KTL135</t>
  </si>
  <si>
    <t>T-5EB0-0-EWE-70</t>
  </si>
  <si>
    <t>T-5EB0-0-EWE-ST</t>
  </si>
  <si>
    <t>KTL170/W160/W120/W160/KTL170</t>
  </si>
  <si>
    <t>T-5EB0-0-EWT-10</t>
  </si>
  <si>
    <t>2.31 BE</t>
  </si>
  <si>
    <t>PLK120/W80/W90/W80/TL115</t>
  </si>
  <si>
    <t>T-5EB0-0-EWT-11</t>
  </si>
  <si>
    <t>2.31 EB W2</t>
  </si>
  <si>
    <t>PLK120/W90/W90/W90/TL115</t>
  </si>
  <si>
    <t>T-5EB0-0-KWK-10</t>
  </si>
  <si>
    <t>2.42 EB W4</t>
  </si>
  <si>
    <t>KL135/W135/W115/W135/KL135</t>
  </si>
  <si>
    <t>T-5EB0-0-KWK-11</t>
  </si>
  <si>
    <t>2.42 EB W6</t>
  </si>
  <si>
    <t>KL135/W135/W135/W135/KL135</t>
  </si>
  <si>
    <t>T-5EB0-0-TMT-70</t>
  </si>
  <si>
    <t>T-5EB0-0-TMT-ST</t>
  </si>
  <si>
    <t>T-5EB0-0-TWT- 10</t>
  </si>
  <si>
    <t>2.03 BE</t>
  </si>
  <si>
    <t>TL115/W80/W90/W80/TL90</t>
  </si>
  <si>
    <t>T-5EB0-0-TWT- 150</t>
  </si>
  <si>
    <t>5EB0585AA</t>
  </si>
  <si>
    <t>T-5EB0-0-TWT- 151</t>
  </si>
  <si>
    <t>5EB0630AA</t>
  </si>
  <si>
    <t>T-5EB0-0-TWT- 152</t>
  </si>
  <si>
    <t>5EB0686AA</t>
  </si>
  <si>
    <t>T-5EB0-0-TWT- 153</t>
  </si>
  <si>
    <t>5EB0529AA</t>
  </si>
  <si>
    <t>TB120/FL080/FL080/FL080/TB100</t>
  </si>
  <si>
    <t>T-5EB0-0-TWT-11</t>
  </si>
  <si>
    <t>2.04 BE</t>
  </si>
  <si>
    <t>TL135/W135/W80/W70/TL135</t>
  </si>
  <si>
    <t>T-5EB0-0-TWT-15</t>
  </si>
  <si>
    <t xml:space="preserve">2.04 EB W7 </t>
  </si>
  <si>
    <t xml:space="preserve">TL135/W90/W115/W115/TL135 </t>
  </si>
  <si>
    <t>T-5EB0-0-TWT-12</t>
  </si>
  <si>
    <t>2.04 EB W6</t>
  </si>
  <si>
    <t>TL135/W135/W135/W135/TL135</t>
  </si>
  <si>
    <t>T-5EB0-0-TWT-13</t>
  </si>
  <si>
    <t>2.04 EB X2</t>
  </si>
  <si>
    <t>TL135/W90/W90/W90/TL135</t>
  </si>
  <si>
    <t>T-5EB0-0-TWT-40</t>
  </si>
  <si>
    <t>5EB620A1</t>
  </si>
  <si>
    <t>T-5EB0-0-TWT-41</t>
  </si>
  <si>
    <t>5EB560A1</t>
  </si>
  <si>
    <t>T-5EB0-0-TWT-42</t>
  </si>
  <si>
    <t>5EB670A1</t>
  </si>
  <si>
    <t>T-5EB0-0-TWT-60</t>
  </si>
  <si>
    <t>fala EB 540 g szara</t>
  </si>
  <si>
    <t>T-5EB0-0-TWT-61</t>
  </si>
  <si>
    <t>fala EB 600 g szara</t>
  </si>
  <si>
    <t>TL120/W100/W90/W100/TL120</t>
  </si>
  <si>
    <t>T-5EB0-0-TWT-62</t>
  </si>
  <si>
    <t>fala EB 670 g szara</t>
  </si>
  <si>
    <t>T-5EB0-0-TWT-70</t>
  </si>
  <si>
    <t>T-5EB0-0-TWT-ST</t>
  </si>
  <si>
    <t xml:space="preserve"> TL120/W100/W100/W100/TL120</t>
  </si>
  <si>
    <t>T-5EB0-0-TWT-71</t>
  </si>
  <si>
    <t>TL135/W100/W100/W125/TL135</t>
  </si>
  <si>
    <t>T-5EB0-0-TWT-93</t>
  </si>
  <si>
    <t>5EB470A1</t>
  </si>
  <si>
    <t>TL90/W80/W80/W80/TL90 *</t>
  </si>
  <si>
    <t>T-5EB0-1-PHE-70</t>
  </si>
  <si>
    <t>T-5EB0-1-PHE-ST</t>
  </si>
  <si>
    <t>PWTL140/W100/W100/HP140/KTL135</t>
  </si>
  <si>
    <t>T-5EB0-1-TWT- 150</t>
  </si>
  <si>
    <t>5EB0640BA</t>
  </si>
  <si>
    <t>TW120/FL100/FL120/FL100/TB120</t>
  </si>
  <si>
    <t>T-5EB0-1-TWT-10</t>
  </si>
  <si>
    <t>2.25 BE</t>
  </si>
  <si>
    <t>WTL135/W80/W90/W80/TL90</t>
  </si>
  <si>
    <t>T-5EB0-1-TWT-12</t>
  </si>
  <si>
    <t>2.25 BE X4</t>
  </si>
  <si>
    <t>WTL135/W115/W90/W115/TL135</t>
  </si>
  <si>
    <t>T-5EB0-1-TWT-40</t>
  </si>
  <si>
    <t>5EB610A2</t>
  </si>
  <si>
    <t>TLW125/W100/W100/W100/TL120</t>
  </si>
  <si>
    <t>T-5EB0-1-TWT-41</t>
  </si>
  <si>
    <t xml:space="preserve">5EB560A2 </t>
  </si>
  <si>
    <t>TLW125/W100/W100/W100/TL3 10</t>
  </si>
  <si>
    <t>T-5EB0-1-TWT-60</t>
  </si>
  <si>
    <t>fala EB 650 g j.bielona</t>
  </si>
  <si>
    <t>T-5EB0-1-TWT-70</t>
  </si>
  <si>
    <t>T-5EB0-1-TWT-ST</t>
  </si>
  <si>
    <t>T-5EB0-1-TWT-71</t>
  </si>
  <si>
    <t>WTL140/W100/W100/W120/TL135</t>
  </si>
  <si>
    <t>T-7AAC-0-KSK-10</t>
  </si>
  <si>
    <t>3.92 AAC</t>
  </si>
  <si>
    <t>KL280/PMS140/PMK140/PMS140/PMK140/PMS140/KL175</t>
  </si>
  <si>
    <t>T-7AAC-0-KSK-11</t>
  </si>
  <si>
    <t>3.95 AAC</t>
  </si>
  <si>
    <t>KL280/PMK140/PMK140/PMK140/PMK175/PMK140/KL280</t>
  </si>
  <si>
    <t>T-7AAC-0-KSK-12</t>
  </si>
  <si>
    <t>3.96 AAC</t>
  </si>
  <si>
    <t>KL400/PMK140/PMK175/PMK140/PMK175/PMK140/KL400</t>
  </si>
  <si>
    <t>T-7AAC-0-KWK-10</t>
  </si>
  <si>
    <t>3.90 AAC</t>
  </si>
  <si>
    <t>KL135/WS135/WS115/WS115/WS115/WS115/KL135</t>
  </si>
  <si>
    <t>T-7AAC-0-KWK-11</t>
  </si>
  <si>
    <t>3.91 AAC</t>
  </si>
  <si>
    <t>KL175/PMS140/WS115/PMS140/WS115/WS115/KL175</t>
  </si>
  <si>
    <t>NAKŁAD</t>
  </si>
  <si>
    <t>Koszt produkcji</t>
  </si>
  <si>
    <t>nadruk 0</t>
  </si>
  <si>
    <t>nadruk 25</t>
  </si>
  <si>
    <t>nadruk 50</t>
  </si>
  <si>
    <t>nadruk 100</t>
  </si>
  <si>
    <t>apla</t>
  </si>
  <si>
    <t>Spełnione</t>
  </si>
  <si>
    <t>wymiar arkusza mm</t>
  </si>
  <si>
    <t>Typ FEFCO</t>
  </si>
  <si>
    <t>Procent 
nadruku</t>
  </si>
  <si>
    <t>500-999</t>
  </si>
  <si>
    <t>1000-2999</t>
  </si>
  <si>
    <t>Metraż</t>
  </si>
  <si>
    <t>Wykrojnik</t>
  </si>
  <si>
    <t>Warunek dodatkowy</t>
  </si>
  <si>
    <t>Ilość
kolorów</t>
  </si>
  <si>
    <t>3000-4999</t>
  </si>
  <si>
    <t>5000-9999</t>
  </si>
  <si>
    <t>po. 10000</t>
  </si>
  <si>
    <t>Poniżej 2m</t>
  </si>
  <si>
    <t>Powyżej 2m</t>
  </si>
  <si>
    <t>0 kolor</t>
  </si>
  <si>
    <t>1 kolor</t>
  </si>
  <si>
    <t>2 kolory</t>
  </si>
  <si>
    <t>3 kolory</t>
  </si>
  <si>
    <t>Baza opakowań z wykrojnika</t>
  </si>
  <si>
    <t>Spełnione
nie WYKROJNIK</t>
  </si>
  <si>
    <t>F0204</t>
  </si>
  <si>
    <t>F0205</t>
  </si>
  <si>
    <t>F0206</t>
  </si>
  <si>
    <t>Spełnione
WYKROJNIK</t>
  </si>
  <si>
    <t>wymiar arkusza na wyk.</t>
  </si>
  <si>
    <t>Die cut</t>
  </si>
  <si>
    <t>Ilość
uzytków</t>
  </si>
  <si>
    <t>F0207</t>
  </si>
  <si>
    <t>Nadruk poniżej 500 szt</t>
  </si>
  <si>
    <t>WYKROJNIK</t>
  </si>
  <si>
    <t>F0208</t>
  </si>
  <si>
    <t>F0209</t>
  </si>
  <si>
    <t>F0210</t>
  </si>
  <si>
    <t>F0211</t>
  </si>
  <si>
    <t>F0212</t>
  </si>
  <si>
    <t>F0213</t>
  </si>
  <si>
    <t>F0214</t>
  </si>
  <si>
    <t>F0215</t>
  </si>
  <si>
    <t>F0216</t>
  </si>
  <si>
    <t>F0217</t>
  </si>
  <si>
    <t>F0218</t>
  </si>
  <si>
    <t>F0219</t>
  </si>
  <si>
    <t>F0220</t>
  </si>
  <si>
    <t>F0221</t>
  </si>
  <si>
    <t>F0222</t>
  </si>
  <si>
    <t>F0223</t>
  </si>
  <si>
    <t>F0224</t>
  </si>
  <si>
    <t>F0225</t>
  </si>
  <si>
    <t>F0226</t>
  </si>
  <si>
    <t>F0227</t>
  </si>
  <si>
    <t>F0228</t>
  </si>
  <si>
    <t>F0229</t>
  </si>
  <si>
    <t>F0230</t>
  </si>
  <si>
    <t>F0231</t>
  </si>
  <si>
    <t>F0321</t>
  </si>
  <si>
    <t>F0406</t>
  </si>
  <si>
    <t>F0412</t>
  </si>
  <si>
    <t>F0413</t>
  </si>
  <si>
    <t>F0415</t>
  </si>
  <si>
    <t>F0416</t>
  </si>
  <si>
    <t>F0420</t>
  </si>
  <si>
    <t>F0421</t>
  </si>
  <si>
    <t>F0422</t>
  </si>
  <si>
    <t>F0423</t>
  </si>
  <si>
    <t>F0425</t>
  </si>
  <si>
    <t>F0426</t>
  </si>
  <si>
    <t>F0427</t>
  </si>
  <si>
    <t>F0429</t>
  </si>
  <si>
    <t>F0431</t>
  </si>
  <si>
    <t>F0451</t>
  </si>
  <si>
    <t>F0452</t>
  </si>
  <si>
    <t>F0700</t>
  </si>
  <si>
    <t>F0701</t>
  </si>
  <si>
    <t>F0702</t>
  </si>
  <si>
    <t>F0703</t>
  </si>
  <si>
    <t>F0704</t>
  </si>
  <si>
    <t>F0705</t>
  </si>
  <si>
    <t>F0706</t>
  </si>
  <si>
    <t>F0707</t>
  </si>
  <si>
    <t>F0708</t>
  </si>
  <si>
    <t>F0709</t>
  </si>
  <si>
    <t>F0710</t>
  </si>
  <si>
    <t>F0711</t>
  </si>
  <si>
    <t>F0712</t>
  </si>
  <si>
    <t>F0713</t>
  </si>
  <si>
    <t>F0714</t>
  </si>
  <si>
    <t>F0715</t>
  </si>
  <si>
    <t>F0716</t>
  </si>
  <si>
    <t>F0717</t>
  </si>
  <si>
    <t>F0718</t>
  </si>
  <si>
    <t>bez nadruku</t>
  </si>
  <si>
    <t>kolejny kolor</t>
  </si>
  <si>
    <t>od</t>
  </si>
  <si>
    <t>do</t>
  </si>
  <si>
    <t>D</t>
  </si>
  <si>
    <t>Warunek
Dla gram</t>
  </si>
  <si>
    <t>Warunek
Dla 2-cz</t>
  </si>
  <si>
    <t>Warunek
Dodatkowy</t>
  </si>
  <si>
    <t>koszty</t>
  </si>
  <si>
    <t>Warunek 1</t>
  </si>
  <si>
    <t>Warunek 2</t>
  </si>
  <si>
    <t>Ilość użytków</t>
  </si>
  <si>
    <t>KLEJENIE</t>
  </si>
  <si>
    <t>KLEJENIE+SZYCIE</t>
  </si>
  <si>
    <t>Baza opakowań klejonych</t>
  </si>
  <si>
    <t>KOSZT ZSZYWKI</t>
  </si>
  <si>
    <t>KYS</t>
  </si>
  <si>
    <t>4 pkt.</t>
  </si>
  <si>
    <t>do 1m2 H&lt;700</t>
  </si>
  <si>
    <t>1-2m2 H&lt;700</t>
  </si>
  <si>
    <t>pow. 2m2</t>
  </si>
  <si>
    <t>H&gt;700</t>
  </si>
  <si>
    <t>3 pkt.</t>
  </si>
  <si>
    <t>1-cz. H&lt;700</t>
  </si>
  <si>
    <t>2-cz. H&lt;700</t>
  </si>
  <si>
    <t>1-cz. H&gt;700</t>
  </si>
  <si>
    <t>2-cz. H&gt;700</t>
  </si>
  <si>
    <t>F0200</t>
  </si>
  <si>
    <t>F0202</t>
  </si>
  <si>
    <t>2-cz.</t>
  </si>
  <si>
    <t>two part box</t>
  </si>
  <si>
    <t>Koszt
zszywek</t>
  </si>
  <si>
    <t>szycie</t>
  </si>
  <si>
    <t>F0203</t>
  </si>
  <si>
    <t>4pkt.</t>
  </si>
  <si>
    <t>F0320</t>
  </si>
  <si>
    <t>F0500</t>
  </si>
  <si>
    <t>F0501</t>
  </si>
  <si>
    <t>F0502</t>
  </si>
  <si>
    <t>F0503</t>
  </si>
  <si>
    <t>F0504</t>
  </si>
  <si>
    <t>F0505</t>
  </si>
  <si>
    <t>F0506</t>
  </si>
  <si>
    <t>F0507</t>
  </si>
  <si>
    <t>F0508</t>
  </si>
  <si>
    <t>F0509</t>
  </si>
  <si>
    <t>F0510</t>
  </si>
  <si>
    <t>F0511</t>
  </si>
  <si>
    <t>F0512</t>
  </si>
  <si>
    <t>JO</t>
  </si>
  <si>
    <t>Malmo/Landskrona/Helsingborg/Vaxjo/Ljungby/Kalmar</t>
  </si>
  <si>
    <t>Jonkoping/Taberg/Tranas/Tvaaker/Halmstad/Boras</t>
  </si>
  <si>
    <t>Goteborg/Motala/Norrkoping</t>
  </si>
  <si>
    <t>Uddevalla/Kristinehamn</t>
  </si>
  <si>
    <t>Norsborg/Sodertalje/Sztokholm/Rosersberg/Uppsala/Eskilstuna/Rosersberg</t>
  </si>
  <si>
    <t>Arvika</t>
  </si>
  <si>
    <t>Umeå</t>
  </si>
  <si>
    <t>HT emballage</t>
  </si>
  <si>
    <t>Mercamer</t>
  </si>
  <si>
    <t>1 pll   350e</t>
  </si>
  <si>
    <t xml:space="preserve">2 pll   470e </t>
  </si>
  <si>
    <t xml:space="preserve">3 pll  570e </t>
  </si>
  <si>
    <t xml:space="preserve">4 pll  670e </t>
  </si>
  <si>
    <t>FTL</t>
  </si>
  <si>
    <t>1500 / 1600</t>
  </si>
  <si>
    <t>1950 / 2050</t>
  </si>
  <si>
    <t>1800 / 1900</t>
  </si>
  <si>
    <t>ILOŚĆ 
JP</t>
  </si>
  <si>
    <t xml:space="preserve">DK-6000 Kolding </t>
  </si>
  <si>
    <t>DK-5000 Odense</t>
  </si>
  <si>
    <t>DK-8900 Randers</t>
  </si>
  <si>
    <t>DK-9000 Aalborg</t>
  </si>
  <si>
    <t>DK-1599 Kopenhaga</t>
  </si>
  <si>
    <t>DK-6700 Esbjerg</t>
  </si>
  <si>
    <t xml:space="preserve">22 – 33
FTL </t>
  </si>
  <si>
    <t>1600 / 1700</t>
  </si>
  <si>
    <t>1700 / 1800</t>
  </si>
  <si>
    <t>2050 / 2150</t>
  </si>
  <si>
    <t>1850 / 1950</t>
  </si>
  <si>
    <t>1650 / 1750</t>
  </si>
  <si>
    <t>BCT=5,87*pierwistek kwadratowy( obwód*grubość tektury)*ECT/10/5</t>
  </si>
  <si>
    <t>BCT</t>
  </si>
  <si>
    <t>WYTRZYMA</t>
  </si>
  <si>
    <t>ECT</t>
  </si>
  <si>
    <t>kN/m</t>
  </si>
  <si>
    <t>Obwód opakowania</t>
  </si>
  <si>
    <t>mm</t>
  </si>
  <si>
    <t>Grubość tektury</t>
  </si>
  <si>
    <t>dł.</t>
  </si>
  <si>
    <t>szer.</t>
  </si>
  <si>
    <t>wys.</t>
  </si>
  <si>
    <t>Wymiary opak. zew.</t>
  </si>
  <si>
    <t>Dł. paczki</t>
  </si>
  <si>
    <t>Szer. paczki</t>
  </si>
  <si>
    <t>Wys palety</t>
  </si>
  <si>
    <t>Obrys palety</t>
  </si>
  <si>
    <t>długość palety</t>
  </si>
  <si>
    <t>szerokość palety</t>
  </si>
  <si>
    <t>Ilość bezwykrojnika</t>
  </si>
  <si>
    <t>Ilość z wykrojnikiem</t>
  </si>
  <si>
    <t>4-pkt klej</t>
  </si>
  <si>
    <t>wys. pal</t>
  </si>
  <si>
    <t>bez klejenia</t>
  </si>
  <si>
    <t>1-pkt</t>
  </si>
  <si>
    <t>3-pkt</t>
  </si>
  <si>
    <t>4-pkt</t>
  </si>
  <si>
    <t>Suma paczek</t>
  </si>
  <si>
    <t>Ilość palet pod towarem</t>
  </si>
  <si>
    <t>Wymiar palet</t>
  </si>
  <si>
    <t>Obrys całkowity</t>
  </si>
  <si>
    <t>Gram.</t>
  </si>
  <si>
    <t>BC pow. 690 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</si>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</sst>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#,##0.00\ [$zł-415];[Red]\-#,##0.00\ [$zł-415]"/>
    <numFmt numFmtId="165" formatCode="General&quot; - ilość kolorów &quot;"/>
    <numFmt numFmtId="166" formatCode="#,##0\ [$€];\-#,##0\ [$€]"/>
    <numFmt numFmtId="167" formatCode="0.000"/>
    <numFmt numFmtId="168" formatCode="General&quot; %&quot;"/>
    <numFmt numFmtId="169" formatCode="General&quot; pal&quot;"/>
    <numFmt numFmtId="170" formatCode="General&quot; - number of colors &quot;"/>
    <numFmt numFmtId="171" formatCode="#,##0.00&quot; zł&quot;;\-#,##0.00&quot; zł&quot;"/>
    <numFmt numFmtId="172" formatCode="General&quot; x&quot;"/>
    <numFmt numFmtId="173" formatCode="&quot;2 x &quot;0"/>
    <numFmt numFmtId="174" formatCode="@\/"/>
    <numFmt numFmtId="175" formatCode="@\g"/>
    <numFmt numFmtId="176" formatCode="General&quot; - pkt.&quot;"/>
    <numFmt numFmtId="177" formatCode="&quot;x  &quot;General"/>
    <numFmt numFmtId="178" formatCode="General&quot; - po długości&quot;"/>
    <numFmt numFmtId="179" formatCode="0&quot; pcs/pal&quot;"/>
    <numFmt numFmtId="180" formatCode="&quot;1 x &quot;0"/>
    <numFmt numFmtId="181" formatCode="General&quot; - po szerokości&quot;"/>
    <numFmt numFmtId="182" formatCode="#,##0\ [$zł-415];[Red]\-#,##0\ [$zł-415]"/>
    <numFmt numFmtId="183" formatCode="#,##0.000"/>
    <numFmt numFmtId="184" formatCode="d\.mm\.yyyy"/>
    <numFmt numFmtId="185" formatCode="[$-415]General"/>
    <numFmt numFmtId="186" formatCode="[$-415]0"/>
    <numFmt numFmtId="187" formatCode="[$-415]0.00"/>
    <numFmt numFmtId="188" formatCode="[$]@"/>
    <numFmt numFmtId="189" formatCode="0.0"/>
    <numFmt numFmtId="190" formatCode="&quot;PRAWDA&quot;;&quot;PRAWDA&quot;;&quot;FAŁSZ&quot;"/>
    <numFmt numFmtId="191" formatCode="#"/>
  </numFmts>
  <fonts count="42">
    <font>
      <sz val="10"/>
      <name val="Arial"/>
      <family val="2"/>
      <charset val="161"/>
    </font>
    <font>
      <sz val="10"/>
      <name val="Arial"/>
      <charset val="161"/>
    </font>
    <font>
      <u/>
      <sz val="10"/>
      <name val="Arial Unicode MS"/>
      <family val="2"/>
      <charset val="161"/>
    </font>
    <font>
      <sz val="10"/>
      <name val="Arial Unicode MS"/>
      <family val="2"/>
      <charset val="161"/>
    </font>
    <font>
      <sz val="10"/>
      <color rgb="FFFF6600"/>
      <name val="Arial Unicode MS"/>
      <family val="2"/>
      <charset val="161"/>
    </font>
    <font>
      <sz val="10"/>
      <color rgb="FF000000"/>
      <name val="Arial Unicode MS"/>
      <family val="2"/>
      <charset val="161"/>
    </font>
    <font>
      <sz val="12"/>
      <name val="Arial Unicode MS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b/>
      <sz val="12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2"/>
      <color rgb="FF9933FF"/>
      <name val="Arial"/>
      <family val="2"/>
      <charset val="161"/>
    </font>
    <font>
      <b/>
      <sz val="11"/>
      <color rgb="FFFF3333"/>
      <name val="Arial"/>
      <family val="2"/>
      <charset val="161"/>
    </font>
    <font>
      <b/>
      <sz val="11"/>
      <color rgb="FFFF9900"/>
      <name val="Arial"/>
      <family val="2"/>
      <charset val="161"/>
    </font>
    <font>
      <b/>
      <sz val="11"/>
      <color rgb="FF0066CC"/>
      <name val="Arial"/>
      <family val="2"/>
      <charset val="161"/>
    </font>
    <font>
      <b/>
      <sz val="11"/>
      <color rgb="FF579D1C"/>
      <name val="Arial"/>
      <family val="2"/>
      <charset val="161"/>
    </font>
    <font>
      <sz val="14"/>
      <name val="Arial"/>
      <family val="2"/>
      <charset val="161"/>
    </font>
    <font>
      <b/>
      <sz val="14"/>
      <color rgb="FF339966"/>
      <name val="Arial"/>
      <family val="2"/>
      <charset val="161"/>
    </font>
    <font>
      <b/>
      <sz val="14"/>
      <color rgb="FF3333FF"/>
      <name val="Arial"/>
      <family val="2"/>
      <charset val="161"/>
    </font>
    <font>
      <b/>
      <sz val="12"/>
      <color rgb="FFFF420E"/>
      <name val="Arial"/>
      <family val="2"/>
      <charset val="161"/>
    </font>
    <font>
      <b/>
      <sz val="14"/>
      <color rgb="FF9933FF"/>
      <name val="Arial"/>
      <family val="2"/>
      <charset val="161"/>
    </font>
    <font>
      <b/>
      <sz val="12"/>
      <color rgb="FFFF3333"/>
      <name val="Arial"/>
      <family val="2"/>
      <charset val="161"/>
    </font>
    <font>
      <b/>
      <sz val="14"/>
      <color rgb="FF0000FF"/>
      <name val="Arial"/>
      <family val="2"/>
      <charset val="161"/>
    </font>
    <font>
      <b/>
      <sz val="16"/>
      <name val="Arial"/>
      <family val="2"/>
      <charset val="161"/>
    </font>
    <font>
      <b/>
      <sz val="12"/>
      <color rgb="FFFF9900"/>
      <name val="Arial"/>
      <family val="2"/>
      <charset val="161"/>
    </font>
    <font>
      <b/>
      <sz val="12"/>
      <color rgb="FF0066CC"/>
      <name val="Arial"/>
      <family val="2"/>
      <charset val="161"/>
    </font>
    <font>
      <b/>
      <sz val="12"/>
      <name val="Arial"/>
      <charset val="161"/>
    </font>
    <font>
      <b/>
      <sz val="12"/>
      <color rgb="FF579D1C"/>
      <name val="Arial"/>
      <family val="2"/>
      <charset val="161"/>
    </font>
    <font>
      <b/>
      <sz val="13"/>
      <name val="Arial"/>
      <family val="2"/>
      <charset val="161"/>
    </font>
    <font>
      <vertAlign val="superscript"/>
      <sz val="10"/>
      <name val="Arial"/>
      <family val="2"/>
      <charset val="161"/>
    </font>
    <font>
      <sz val="8"/>
      <name val="Arial"/>
      <family val="2"/>
      <charset val="161"/>
    </font>
    <font>
      <sz val="14"/>
      <name val="Arial"/>
      <charset val="161"/>
    </font>
    <font>
      <b/>
      <sz val="11"/>
      <name val="Arial"/>
      <charset val="161"/>
    </font>
    <font>
      <b/>
      <sz val="10"/>
      <name val="Arial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0"/>
      <color rgb="FF000000"/>
      <name val="Times New Roman"/>
      <family val="1"/>
      <charset val="161"/>
    </font>
    <font>
      <sz val="10"/>
      <name val="Calibri"/>
      <charset val="161"/>
    </font>
    <font>
      <sz val="10"/>
      <name val="Times New Roman"/>
      <family val="1"/>
      <charset val="161"/>
    </font>
    <font>
      <sz val="11"/>
      <color rgb="FF000000"/>
      <name val="Calibri"/>
      <charset val="161"/>
    </font>
  </fonts>
  <fills count="25">
    <fill>
      <patternFill patternType="none"/>
    </fill>
    <fill>
      <patternFill patternType="gray125"/>
    </fill>
    <fill>
      <patternFill patternType="solid">
        <fgColor rgb="FF99CC99"/>
        <bgColor rgb="FFB2B2B2"/>
      </patternFill>
    </fill>
    <fill>
      <patternFill patternType="solid">
        <fgColor rgb="FF6699CC"/>
        <bgColor rgb="FF808080"/>
      </patternFill>
    </fill>
    <fill>
      <patternFill patternType="solid">
        <fgColor rgb="FFFF6666"/>
        <bgColor rgb="FFFF6600"/>
      </patternFill>
    </fill>
    <fill>
      <patternFill patternType="solid">
        <fgColor rgb="FFCFE7F5"/>
        <bgColor rgb="FFDDDDDD"/>
      </patternFill>
    </fill>
    <fill>
      <patternFill patternType="solid">
        <fgColor rgb="FFDDDDDD"/>
        <bgColor rgb="FFCFE7F5"/>
      </patternFill>
    </fill>
    <fill>
      <patternFill patternType="solid">
        <fgColor rgb="FFFFFFFF"/>
        <bgColor rgb="FFFFFFCC"/>
      </patternFill>
    </fill>
    <fill>
      <patternFill patternType="solid">
        <fgColor rgb="FFEEEEEE"/>
        <bgColor rgb="FFFFFFFF"/>
      </patternFill>
    </fill>
    <fill>
      <patternFill patternType="solid">
        <fgColor rgb="FFB2B2B2"/>
        <bgColor rgb="FF99CC99"/>
      </patternFill>
    </fill>
    <fill>
      <patternFill patternType="solid">
        <fgColor rgb="FFFFFFCC"/>
        <bgColor rgb="FFFFFFFF"/>
      </patternFill>
    </fill>
    <fill>
      <patternFill patternType="solid">
        <fgColor rgb="FF00FF00"/>
        <bgColor rgb="FF33CCCC"/>
      </patternFill>
    </fill>
    <fill>
      <patternFill patternType="solid">
        <fgColor rgb="FFFFD320"/>
        <bgColor rgb="FFFFCC00"/>
      </patternFill>
    </fill>
    <fill>
      <patternFill patternType="solid">
        <fgColor rgb="FF23B8DC"/>
        <bgColor rgb="FF33CCCC"/>
      </patternFill>
    </fill>
    <fill>
      <patternFill patternType="solid">
        <fgColor rgb="FFFF0000"/>
        <bgColor rgb="FFFF3333"/>
      </patternFill>
    </fill>
    <fill>
      <patternFill patternType="solid">
        <fgColor rgb="FFFF6600"/>
        <bgColor rgb="FFFF420E"/>
      </patternFill>
    </fill>
    <fill>
      <patternFill patternType="solid">
        <fgColor rgb="FF83CAFF"/>
        <bgColor rgb="FF99CC99"/>
      </patternFill>
    </fill>
    <fill>
      <patternFill patternType="solid">
        <fgColor rgb="FFCC99FF"/>
        <bgColor rgb="FFFF99CC"/>
      </patternFill>
    </fill>
    <fill>
      <patternFill patternType="solid">
        <fgColor rgb="FFFFFF00"/>
        <bgColor rgb="FFFFD320"/>
      </patternFill>
    </fill>
    <fill>
      <patternFill patternType="solid">
        <fgColor rgb="FF99CC00"/>
        <bgColor rgb="FF99CC99"/>
      </patternFill>
    </fill>
    <fill>
      <patternFill patternType="solid">
        <fgColor rgb="FF33CCCC"/>
        <bgColor rgb="FF23B8DC"/>
      </patternFill>
    </fill>
    <fill>
      <patternFill patternType="solid">
        <fgColor rgb="FFFF99CC"/>
        <bgColor rgb="FFCC99FF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D320"/>
      </patternFill>
    </fill>
    <fill>
      <patternFill patternType="solid">
        <fgColor rgb="FFCCFF99"/>
        <bgColor rgb="FFFFFF99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</borders>
  <cellStyleXfs count="10">
    <xf numFmtId="0" fontId="0" fillId="0" borderId="0"/>
    <xf numFmtId="164" fontId="2" fillId="0" borderId="0" applyBorder="0" applyAlignment="0" applyProtection="0"/>
    <xf numFmtId="0" fontId="3" fillId="2" borderId="0" applyBorder="0" applyAlignment="0" applyProtection="0"/>
    <xf numFmtId="0" fontId="3" fillId="3" borderId="0" applyBorder="0" applyAlignment="0" applyProtection="0"/>
    <xf numFmtId="0" fontId="3" fillId="4" borderId="0" applyBorder="0" applyAlignment="0" applyProtection="0"/>
    <xf numFmtId="0" fontId="4" fillId="0" borderId="0" applyBorder="0" applyAlignment="0" applyProtection="0"/>
    <xf numFmtId="0" fontId="5" fillId="0" borderId="0" applyBorder="0" applyAlignment="0" applyProtection="0"/>
    <xf numFmtId="165" fontId="6" fillId="5" borderId="1" applyProtection="0">
      <alignment horizontal="center" vertical="center" wrapText="1"/>
    </xf>
    <xf numFmtId="185" fontId="1" fillId="0" borderId="0"/>
    <xf numFmtId="185" fontId="37" fillId="0" borderId="0"/>
  </cellStyleXfs>
  <cellXfs count="291">
    <xf numFmtId="0" fontId="0" fillId="0" borderId="0" xfId="0"/>
    <xf numFmtId="167" fontId="7" fillId="8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1" fontId="7" fillId="0" borderId="0" xfId="0" applyNumberFormat="1" applyFont="1" applyAlignment="1">
      <alignment horizontal="center"/>
    </xf>
    <xf numFmtId="166" fontId="0" fillId="0" borderId="0" xfId="0" applyNumberFormat="1"/>
    <xf numFmtId="1" fontId="0" fillId="0" borderId="0" xfId="0" applyNumberFormat="1" applyProtection="1">
      <protection locked="0"/>
    </xf>
    <xf numFmtId="0" fontId="0" fillId="0" borderId="0" xfId="0" applyAlignment="1">
      <alignment horizontal="left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 vertical="center"/>
    </xf>
    <xf numFmtId="166" fontId="9" fillId="6" borderId="1" xfId="0" applyNumberFormat="1" applyFont="1" applyFill="1" applyBorder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168" fontId="7" fillId="8" borderId="2" xfId="0" applyNumberFormat="1" applyFont="1" applyFill="1" applyBorder="1" applyAlignment="1">
      <alignment horizontal="center"/>
    </xf>
    <xf numFmtId="0" fontId="18" fillId="8" borderId="2" xfId="0" applyFont="1" applyFill="1" applyBorder="1" applyAlignment="1">
      <alignment horizontal="center"/>
    </xf>
    <xf numFmtId="169" fontId="18" fillId="7" borderId="3" xfId="0" applyNumberFormat="1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wrapText="1"/>
    </xf>
    <xf numFmtId="0" fontId="8" fillId="9" borderId="0" xfId="0" applyFont="1" applyFill="1" applyAlignment="1">
      <alignment horizontal="center" wrapText="1"/>
    </xf>
    <xf numFmtId="170" fontId="8" fillId="7" borderId="1" xfId="0" applyNumberFormat="1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71" fontId="20" fillId="8" borderId="1" xfId="0" applyNumberFormat="1" applyFont="1" applyFill="1" applyBorder="1" applyAlignment="1">
      <alignment horizontal="center"/>
    </xf>
    <xf numFmtId="9" fontId="21" fillId="8" borderId="1" xfId="0" applyNumberFormat="1" applyFont="1" applyFill="1" applyBorder="1" applyAlignment="1">
      <alignment horizontal="center"/>
    </xf>
    <xf numFmtId="9" fontId="22" fillId="8" borderId="1" xfId="0" applyNumberFormat="1" applyFont="1" applyFill="1" applyBorder="1" applyAlignment="1">
      <alignment horizontal="center"/>
    </xf>
    <xf numFmtId="1" fontId="23" fillId="8" borderId="1" xfId="0" applyNumberFormat="1" applyFont="1" applyFill="1" applyBorder="1" applyAlignment="1">
      <alignment horizontal="center"/>
    </xf>
    <xf numFmtId="164" fontId="9" fillId="8" borderId="1" xfId="0" applyNumberFormat="1" applyFont="1" applyFill="1" applyBorder="1" applyAlignment="1">
      <alignment horizontal="center"/>
    </xf>
    <xf numFmtId="1" fontId="9" fillId="8" borderId="1" xfId="0" applyNumberFormat="1" applyFont="1" applyFill="1" applyBorder="1" applyAlignment="1">
      <alignment horizontal="center"/>
    </xf>
    <xf numFmtId="166" fontId="24" fillId="7" borderId="1" xfId="0" applyNumberFormat="1" applyFont="1" applyFill="1" applyBorder="1" applyAlignment="1">
      <alignment horizontal="center"/>
    </xf>
    <xf numFmtId="167" fontId="25" fillId="10" borderId="1" xfId="0" applyNumberFormat="1" applyFont="1" applyFill="1" applyBorder="1" applyAlignment="1">
      <alignment horizontal="center"/>
    </xf>
    <xf numFmtId="173" fontId="7" fillId="8" borderId="1" xfId="0" applyNumberFormat="1" applyFont="1" applyFill="1" applyBorder="1" applyAlignment="1">
      <alignment horizontal="center"/>
    </xf>
    <xf numFmtId="174" fontId="7" fillId="0" borderId="7" xfId="0" applyNumberFormat="1" applyFont="1" applyBorder="1" applyAlignment="1">
      <alignment horizontal="right"/>
    </xf>
    <xf numFmtId="175" fontId="7" fillId="0" borderId="8" xfId="0" applyNumberFormat="1" applyFont="1" applyBorder="1" applyAlignment="1">
      <alignment horizontal="left"/>
    </xf>
    <xf numFmtId="176" fontId="18" fillId="8" borderId="0" xfId="0" applyNumberFormat="1" applyFont="1" applyFill="1" applyAlignment="1">
      <alignment horizontal="center"/>
    </xf>
    <xf numFmtId="0" fontId="18" fillId="8" borderId="0" xfId="0" applyFont="1" applyFill="1" applyAlignment="1">
      <alignment horizontal="center"/>
    </xf>
    <xf numFmtId="1" fontId="18" fillId="7" borderId="7" xfId="0" applyNumberFormat="1" applyFont="1" applyFill="1" applyBorder="1" applyAlignment="1">
      <alignment horizontal="right" vertical="top"/>
    </xf>
    <xf numFmtId="1" fontId="18" fillId="7" borderId="0" xfId="0" applyNumberFormat="1" applyFont="1" applyFill="1" applyAlignment="1">
      <alignment horizontal="center" vertical="top"/>
    </xf>
    <xf numFmtId="177" fontId="18" fillId="7" borderId="8" xfId="0" applyNumberFormat="1" applyFont="1" applyFill="1" applyBorder="1" applyAlignment="1">
      <alignment horizontal="left" vertical="top"/>
    </xf>
    <xf numFmtId="0" fontId="18" fillId="7" borderId="9" xfId="0" applyFont="1" applyFill="1" applyBorder="1" applyAlignment="1">
      <alignment horizontal="center" vertical="top"/>
    </xf>
    <xf numFmtId="0" fontId="18" fillId="9" borderId="1" xfId="0" applyFont="1" applyFill="1" applyBorder="1" applyAlignment="1">
      <alignment horizontal="center" vertical="top"/>
    </xf>
    <xf numFmtId="1" fontId="18" fillId="9" borderId="1" xfId="0" applyNumberFormat="1" applyFont="1" applyFill="1" applyBorder="1" applyAlignment="1">
      <alignment horizontal="center" vertical="top"/>
    </xf>
    <xf numFmtId="1" fontId="18" fillId="7" borderId="8" xfId="0" applyNumberFormat="1" applyFont="1" applyFill="1" applyBorder="1" applyAlignment="1">
      <alignment horizontal="center" vertical="top"/>
    </xf>
    <xf numFmtId="1" fontId="26" fillId="8" borderId="1" xfId="0" applyNumberFormat="1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9" fillId="0" borderId="1" xfId="0" applyFont="1" applyBorder="1"/>
    <xf numFmtId="1" fontId="7" fillId="8" borderId="1" xfId="0" applyNumberFormat="1" applyFont="1" applyFill="1" applyBorder="1" applyAlignment="1">
      <alignment horizontal="center"/>
    </xf>
    <xf numFmtId="178" fontId="18" fillId="8" borderId="1" xfId="0" applyNumberFormat="1" applyFont="1" applyFill="1" applyBorder="1" applyAlignment="1">
      <alignment horizontal="left"/>
    </xf>
    <xf numFmtId="0" fontId="18" fillId="8" borderId="1" xfId="0" applyFont="1" applyFill="1" applyBorder="1" applyAlignment="1">
      <alignment horizontal="center" vertical="top"/>
    </xf>
    <xf numFmtId="0" fontId="18" fillId="7" borderId="8" xfId="0" applyFont="1" applyFill="1" applyBorder="1" applyAlignment="1">
      <alignment horizontal="center" vertical="top"/>
    </xf>
    <xf numFmtId="0" fontId="18" fillId="7" borderId="7" xfId="0" applyFont="1" applyFill="1" applyBorder="1" applyAlignment="1">
      <alignment horizontal="right"/>
    </xf>
    <xf numFmtId="0" fontId="18" fillId="7" borderId="0" xfId="0" applyFont="1" applyFill="1" applyAlignment="1">
      <alignment horizontal="left"/>
    </xf>
    <xf numFmtId="1" fontId="18" fillId="7" borderId="0" xfId="0" applyNumberFormat="1" applyFont="1" applyFill="1" applyAlignment="1">
      <alignment horizontal="right"/>
    </xf>
    <xf numFmtId="0" fontId="18" fillId="7" borderId="8" xfId="0" applyFont="1" applyFill="1" applyBorder="1" applyAlignment="1">
      <alignment horizontal="left"/>
    </xf>
    <xf numFmtId="1" fontId="27" fillId="8" borderId="1" xfId="0" applyNumberFormat="1" applyFont="1" applyFill="1" applyBorder="1" applyAlignment="1">
      <alignment horizontal="center"/>
    </xf>
    <xf numFmtId="49" fontId="18" fillId="7" borderId="11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/>
    </xf>
    <xf numFmtId="180" fontId="7" fillId="8" borderId="1" xfId="0" applyNumberFormat="1" applyFont="1" applyFill="1" applyBorder="1" applyAlignment="1">
      <alignment horizontal="center"/>
    </xf>
    <xf numFmtId="181" fontId="18" fillId="8" borderId="1" xfId="0" applyNumberFormat="1" applyFont="1" applyFill="1" applyBorder="1" applyAlignment="1">
      <alignment horizontal="left"/>
    </xf>
    <xf numFmtId="0" fontId="18" fillId="8" borderId="11" xfId="0" applyFont="1" applyFill="1" applyBorder="1" applyAlignment="1">
      <alignment horizontal="center"/>
    </xf>
    <xf numFmtId="1" fontId="18" fillId="0" borderId="9" xfId="0" applyNumberFormat="1" applyFont="1" applyBorder="1" applyAlignment="1">
      <alignment horizontal="center" vertical="top"/>
    </xf>
    <xf numFmtId="2" fontId="7" fillId="8" borderId="13" xfId="0" applyNumberFormat="1" applyFont="1" applyFill="1" applyBorder="1" applyAlignment="1">
      <alignment horizontal="center"/>
    </xf>
    <xf numFmtId="2" fontId="7" fillId="8" borderId="14" xfId="0" applyNumberFormat="1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1" fontId="29" fillId="8" borderId="1" xfId="0" applyNumberFormat="1" applyFont="1" applyFill="1" applyBorder="1" applyAlignment="1">
      <alignment horizontal="center"/>
    </xf>
    <xf numFmtId="182" fontId="9" fillId="8" borderId="1" xfId="0" applyNumberFormat="1" applyFont="1" applyFill="1" applyBorder="1" applyAlignment="1">
      <alignment horizontal="center"/>
    </xf>
    <xf numFmtId="0" fontId="18" fillId="7" borderId="11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/>
    </xf>
    <xf numFmtId="1" fontId="7" fillId="8" borderId="1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/>
    <xf numFmtId="179" fontId="0" fillId="0" borderId="0" xfId="0" applyNumberFormat="1" applyAlignment="1">
      <alignment horizontal="center"/>
    </xf>
    <xf numFmtId="0" fontId="30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0" borderId="18" xfId="0" applyBorder="1" applyAlignment="1" applyProtection="1">
      <alignment horizontal="center"/>
      <protection hidden="1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9" xfId="0" applyFon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12" borderId="1" xfId="0" applyFill="1" applyBorder="1"/>
    <xf numFmtId="183" fontId="0" fillId="0" borderId="19" xfId="0" applyNumberFormat="1" applyBorder="1" applyAlignment="1">
      <alignment horizontal="center"/>
    </xf>
    <xf numFmtId="0" fontId="0" fillId="13" borderId="17" xfId="0" applyFill="1" applyBorder="1" applyAlignment="1">
      <alignment horizontal="center" wrapText="1"/>
    </xf>
    <xf numFmtId="0" fontId="32" fillId="0" borderId="19" xfId="0" applyFont="1" applyBorder="1" applyAlignment="1">
      <alignment horizontal="center" vertical="center" wrapText="1"/>
    </xf>
    <xf numFmtId="1" fontId="0" fillId="13" borderId="20" xfId="0" applyNumberFormat="1" applyFill="1" applyBorder="1" applyAlignment="1">
      <alignment horizontal="center"/>
    </xf>
    <xf numFmtId="1" fontId="0" fillId="13" borderId="10" xfId="0" applyNumberFormat="1" applyFill="1" applyBorder="1" applyAlignment="1">
      <alignment horizontal="center"/>
    </xf>
    <xf numFmtId="1" fontId="0" fillId="13" borderId="21" xfId="0" applyNumberFormat="1" applyFill="1" applyBorder="1" applyAlignment="1">
      <alignment horizontal="center"/>
    </xf>
    <xf numFmtId="0" fontId="0" fillId="14" borderId="19" xfId="0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1" fontId="0" fillId="13" borderId="22" xfId="0" applyNumberFormat="1" applyFill="1" applyBorder="1" applyAlignment="1">
      <alignment horizontal="center"/>
    </xf>
    <xf numFmtId="1" fontId="0" fillId="13" borderId="16" xfId="0" applyNumberFormat="1" applyFill="1" applyBorder="1" applyAlignment="1">
      <alignment horizontal="center"/>
    </xf>
    <xf numFmtId="1" fontId="0" fillId="13" borderId="23" xfId="0" applyNumberFormat="1" applyFill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 wrapText="1"/>
    </xf>
    <xf numFmtId="0" fontId="0" fillId="0" borderId="10" xfId="0" applyBorder="1"/>
    <xf numFmtId="3" fontId="0" fillId="0" borderId="0" xfId="0" applyNumberFormat="1" applyAlignment="1">
      <alignment horizontal="center"/>
    </xf>
    <xf numFmtId="0" fontId="0" fillId="16" borderId="1" xfId="0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 wrapText="1"/>
    </xf>
    <xf numFmtId="1" fontId="0" fillId="7" borderId="1" xfId="0" applyNumberForma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/>
    </xf>
    <xf numFmtId="0" fontId="0" fillId="16" borderId="1" xfId="0" applyFill="1" applyBorder="1"/>
    <xf numFmtId="0" fontId="0" fillId="0" borderId="1" xfId="0" applyBorder="1"/>
    <xf numFmtId="0" fontId="0" fillId="16" borderId="1" xfId="0" applyFill="1" applyBorder="1" applyAlignment="1">
      <alignment horizontal="center" wrapText="1"/>
    </xf>
    <xf numFmtId="0" fontId="0" fillId="7" borderId="1" xfId="0" applyFill="1" applyBorder="1"/>
    <xf numFmtId="0" fontId="0" fillId="0" borderId="1" xfId="0" applyBorder="1" applyAlignment="1">
      <alignment horizontal="center" wrapText="1"/>
    </xf>
    <xf numFmtId="0" fontId="0" fillId="7" borderId="1" xfId="0" applyFill="1" applyBorder="1" applyAlignment="1" applyProtection="1">
      <alignment horizontal="center"/>
      <protection hidden="1"/>
    </xf>
    <xf numFmtId="1" fontId="11" fillId="7" borderId="0" xfId="0" applyNumberFormat="1" applyFont="1" applyFill="1" applyAlignment="1">
      <alignment horizontal="center"/>
    </xf>
    <xf numFmtId="1" fontId="0" fillId="7" borderId="0" xfId="0" applyNumberFormat="1" applyFill="1" applyAlignment="1">
      <alignment horizontal="center"/>
    </xf>
    <xf numFmtId="1" fontId="0" fillId="13" borderId="1" xfId="0" applyNumberFormat="1" applyFill="1" applyBorder="1" applyAlignment="1">
      <alignment horizontal="center"/>
    </xf>
    <xf numFmtId="184" fontId="11" fillId="0" borderId="19" xfId="0" applyNumberFormat="1" applyFont="1" applyBorder="1" applyAlignment="1">
      <alignment horizontal="center"/>
    </xf>
    <xf numFmtId="185" fontId="1" fillId="0" borderId="0" xfId="8"/>
    <xf numFmtId="185" fontId="11" fillId="15" borderId="17" xfId="8" applyFont="1" applyFill="1" applyBorder="1" applyAlignment="1">
      <alignment horizontal="center" vertical="center"/>
    </xf>
    <xf numFmtId="185" fontId="33" fillId="0" borderId="0" xfId="8" applyFont="1"/>
    <xf numFmtId="185" fontId="1" fillId="17" borderId="17" xfId="8" applyFill="1" applyBorder="1"/>
    <xf numFmtId="185" fontId="1" fillId="18" borderId="17" xfId="8" applyFill="1" applyBorder="1"/>
    <xf numFmtId="185" fontId="1" fillId="19" borderId="17" xfId="8" applyFill="1" applyBorder="1"/>
    <xf numFmtId="186" fontId="34" fillId="0" borderId="17" xfId="8" applyNumberFormat="1" applyFont="1" applyBorder="1" applyAlignment="1">
      <alignment horizontal="center"/>
    </xf>
    <xf numFmtId="185" fontId="10" fillId="15" borderId="17" xfId="8" applyFont="1" applyFill="1" applyBorder="1" applyAlignment="1">
      <alignment horizontal="center"/>
    </xf>
    <xf numFmtId="185" fontId="1" fillId="20" borderId="17" xfId="8" applyFill="1" applyBorder="1"/>
    <xf numFmtId="185" fontId="0" fillId="21" borderId="17" xfId="8" applyFont="1" applyFill="1" applyBorder="1"/>
    <xf numFmtId="185" fontId="1" fillId="21" borderId="17" xfId="8" applyFill="1" applyBorder="1"/>
    <xf numFmtId="185" fontId="9" fillId="0" borderId="0" xfId="8" applyFont="1"/>
    <xf numFmtId="185" fontId="9" fillId="0" borderId="1" xfId="8" applyFont="1" applyBorder="1"/>
    <xf numFmtId="185" fontId="28" fillId="0" borderId="0" xfId="8" applyFont="1"/>
    <xf numFmtId="187" fontId="28" fillId="0" borderId="0" xfId="8" applyNumberFormat="1" applyFont="1"/>
    <xf numFmtId="188" fontId="28" fillId="0" borderId="0" xfId="8" applyNumberFormat="1" applyFo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88" fontId="28" fillId="0" borderId="0" xfId="8" applyNumberFormat="1" applyFont="1" applyAlignment="1">
      <alignment horizontal="right"/>
    </xf>
    <xf numFmtId="2" fontId="0" fillId="0" borderId="0" xfId="0" applyNumberFormat="1"/>
    <xf numFmtId="0" fontId="0" fillId="22" borderId="1" xfId="0" applyFill="1" applyBorder="1"/>
    <xf numFmtId="0" fontId="0" fillId="23" borderId="1" xfId="0" applyFill="1" applyBorder="1" applyAlignment="1">
      <alignment horizontal="center"/>
    </xf>
    <xf numFmtId="0" fontId="0" fillId="23" borderId="1" xfId="0" applyFill="1" applyBorder="1" applyAlignment="1" applyProtection="1">
      <alignment horizontal="center"/>
      <protection hidden="1"/>
    </xf>
    <xf numFmtId="0" fontId="0" fillId="23" borderId="19" xfId="0" applyFill="1" applyBorder="1" applyAlignment="1">
      <alignment horizontal="center" wrapText="1"/>
    </xf>
    <xf numFmtId="2" fontId="0" fillId="7" borderId="1" xfId="0" applyNumberFormat="1" applyFill="1" applyBorder="1" applyAlignment="1">
      <alignment horizontal="center"/>
    </xf>
    <xf numFmtId="2" fontId="0" fillId="16" borderId="1" xfId="0" applyNumberFormat="1" applyFill="1" applyBorder="1" applyAlignment="1">
      <alignment horizontal="center"/>
    </xf>
    <xf numFmtId="2" fontId="0" fillId="22" borderId="1" xfId="0" applyNumberFormat="1" applyFill="1" applyBorder="1" applyAlignment="1">
      <alignment horizontal="center"/>
    </xf>
    <xf numFmtId="3" fontId="0" fillId="15" borderId="19" xfId="0" applyNumberFormat="1" applyFill="1" applyBorder="1" applyAlignment="1">
      <alignment horizontal="center"/>
    </xf>
    <xf numFmtId="3" fontId="0" fillId="7" borderId="19" xfId="0" applyNumberFormat="1" applyFill="1" applyBorder="1" applyAlignment="1">
      <alignment horizontal="center"/>
    </xf>
    <xf numFmtId="0" fontId="0" fillId="7" borderId="0" xfId="0" applyFill="1" applyAlignment="1">
      <alignment horizontal="center" wrapText="1"/>
    </xf>
    <xf numFmtId="0" fontId="0" fillId="0" borderId="0" xfId="0" applyAlignment="1" applyProtection="1">
      <alignment horizontal="center"/>
      <protection hidden="1"/>
    </xf>
    <xf numFmtId="0" fontId="32" fillId="0" borderId="0" xfId="0" applyFont="1" applyAlignment="1">
      <alignment horizontal="center" vertical="center" wrapText="1"/>
    </xf>
    <xf numFmtId="4" fontId="0" fillId="7" borderId="19" xfId="0" applyNumberFormat="1" applyFill="1" applyBorder="1" applyAlignment="1">
      <alignment horizontal="center"/>
    </xf>
    <xf numFmtId="0" fontId="11" fillId="0" borderId="0" xfId="0" applyFont="1" applyAlignment="1">
      <alignment horizontal="center"/>
    </xf>
    <xf numFmtId="189" fontId="0" fillId="0" borderId="0" xfId="0" applyNumberFormat="1"/>
    <xf numFmtId="0" fontId="0" fillId="0" borderId="0" xfId="0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 wrapText="1"/>
    </xf>
    <xf numFmtId="2" fontId="0" fillId="16" borderId="1" xfId="0" applyNumberFormat="1" applyFill="1" applyBorder="1" applyAlignment="1">
      <alignment horizontal="center" vertical="center" wrapText="1"/>
    </xf>
    <xf numFmtId="2" fontId="0" fillId="22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11" fillId="7" borderId="0" xfId="0" applyFon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0" fillId="22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2" fontId="0" fillId="24" borderId="1" xfId="0" applyNumberFormat="1" applyFill="1" applyBorder="1" applyAlignment="1">
      <alignment horizontal="center"/>
    </xf>
    <xf numFmtId="0" fontId="0" fillId="24" borderId="1" xfId="0" applyFill="1" applyBorder="1"/>
    <xf numFmtId="172" fontId="0" fillId="23" borderId="1" xfId="0" applyNumberFormat="1" applyFill="1" applyBorder="1" applyAlignment="1">
      <alignment horizontal="center"/>
    </xf>
    <xf numFmtId="2" fontId="0" fillId="22" borderId="1" xfId="0" applyNumberFormat="1" applyFill="1" applyBorder="1"/>
    <xf numFmtId="2" fontId="0" fillId="0" borderId="1" xfId="0" applyNumberFormat="1" applyBorder="1"/>
    <xf numFmtId="0" fontId="8" fillId="0" borderId="0" xfId="0" applyFont="1" applyAlignment="1">
      <alignment horizontal="center" vertical="center"/>
    </xf>
    <xf numFmtId="167" fontId="0" fillId="23" borderId="19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190" fontId="0" fillId="0" borderId="0" xfId="0" applyNumberFormat="1"/>
    <xf numFmtId="4" fontId="0" fillId="0" borderId="1" xfId="0" applyNumberFormat="1" applyBorder="1" applyAlignment="1">
      <alignment horizontal="center"/>
    </xf>
    <xf numFmtId="185" fontId="35" fillId="0" borderId="1" xfId="8" applyFont="1" applyBorder="1" applyAlignment="1">
      <alignment horizontal="center"/>
    </xf>
    <xf numFmtId="185" fontId="36" fillId="0" borderId="19" xfId="9" applyFont="1" applyBorder="1" applyAlignment="1">
      <alignment horizontal="center" wrapText="1"/>
    </xf>
    <xf numFmtId="185" fontId="38" fillId="0" borderId="19" xfId="8" applyFont="1" applyBorder="1" applyAlignment="1">
      <alignment horizontal="center" wrapText="1"/>
    </xf>
    <xf numFmtId="185" fontId="36" fillId="0" borderId="19" xfId="9" applyFont="1" applyBorder="1" applyAlignment="1">
      <alignment horizontal="center"/>
    </xf>
    <xf numFmtId="185" fontId="1" fillId="0" borderId="1" xfId="8" applyBorder="1" applyAlignment="1">
      <alignment horizontal="center"/>
    </xf>
    <xf numFmtId="185" fontId="37" fillId="0" borderId="19" xfId="9" applyBorder="1" applyAlignment="1">
      <alignment horizontal="center"/>
    </xf>
    <xf numFmtId="185" fontId="39" fillId="0" borderId="1" xfId="8" applyFont="1" applyBorder="1" applyAlignment="1">
      <alignment horizontal="center"/>
    </xf>
    <xf numFmtId="0" fontId="40" fillId="0" borderId="0" xfId="0" applyFont="1" applyAlignment="1">
      <alignment wrapText="1"/>
    </xf>
    <xf numFmtId="185" fontId="37" fillId="0" borderId="0" xfId="9" applyAlignment="1">
      <alignment horizontal="center" vertical="center"/>
    </xf>
    <xf numFmtId="185" fontId="37" fillId="0" borderId="19" xfId="9" applyBorder="1" applyAlignment="1">
      <alignment horizontal="center" vertical="center"/>
    </xf>
    <xf numFmtId="185" fontId="37" fillId="0" borderId="19" xfId="9" applyBorder="1" applyAlignment="1">
      <alignment horizontal="center" wrapText="1"/>
    </xf>
    <xf numFmtId="185" fontId="41" fillId="7" borderId="1" xfId="9" applyFont="1" applyFill="1" applyBorder="1" applyAlignment="1">
      <alignment horizontal="center"/>
    </xf>
    <xf numFmtId="185" fontId="37" fillId="0" borderId="1" xfId="9" applyBorder="1" applyAlignment="1">
      <alignment horizontal="center"/>
    </xf>
    <xf numFmtId="0" fontId="0" fillId="8" borderId="1" xfId="0" applyFill="1" applyBorder="1"/>
    <xf numFmtId="189" fontId="0" fillId="8" borderId="1" xfId="0" applyNumberForma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12" borderId="1" xfId="0" applyFill="1" applyBorder="1" applyAlignment="1" applyProtection="1">
      <alignment horizontal="center"/>
      <protection locked="0"/>
    </xf>
    <xf numFmtId="0" fontId="8" fillId="12" borderId="1" xfId="0" applyFont="1" applyFill="1" applyBorder="1" applyAlignment="1" applyProtection="1">
      <alignment horizontal="center" wrapText="1"/>
      <protection locked="0"/>
    </xf>
    <xf numFmtId="0" fontId="0" fillId="24" borderId="1" xfId="0" applyFill="1" applyBorder="1" applyAlignment="1" applyProtection="1">
      <alignment horizontal="center"/>
      <protection locked="0"/>
    </xf>
    <xf numFmtId="1" fontId="0" fillId="24" borderId="1" xfId="0" applyNumberFormat="1" applyFill="1" applyBorder="1" applyAlignment="1" applyProtection="1">
      <alignment horizontal="center" vertical="center"/>
      <protection locked="0"/>
    </xf>
    <xf numFmtId="1" fontId="0" fillId="24" borderId="1" xfId="0" applyNumberFormat="1" applyFill="1" applyBorder="1" applyAlignment="1" applyProtection="1">
      <alignment horizontal="center"/>
      <protection locked="0"/>
    </xf>
    <xf numFmtId="1" fontId="0" fillId="24" borderId="1" xfId="0" applyNumberFormat="1" applyFill="1" applyBorder="1" applyProtection="1">
      <protection locked="0"/>
    </xf>
    <xf numFmtId="0" fontId="0" fillId="24" borderId="1" xfId="0" applyFill="1" applyBorder="1" applyProtection="1">
      <protection locked="0"/>
    </xf>
    <xf numFmtId="169" fontId="18" fillId="24" borderId="3" xfId="0" applyNumberFormat="1" applyFont="1" applyFill="1" applyBorder="1" applyAlignment="1" applyProtection="1">
      <alignment horizontal="center" vertical="top"/>
      <protection locked="0"/>
    </xf>
    <xf numFmtId="0" fontId="0" fillId="24" borderId="0" xfId="0" applyFill="1" applyProtection="1">
      <protection locked="0"/>
    </xf>
    <xf numFmtId="1" fontId="0" fillId="24" borderId="0" xfId="0" applyNumberFormat="1" applyFill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24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12" borderId="0" xfId="0" applyFill="1" applyAlignment="1" applyProtection="1">
      <alignment horizontal="center"/>
      <protection locked="0"/>
    </xf>
    <xf numFmtId="0" fontId="0" fillId="24" borderId="0" xfId="0" applyFill="1" applyAlignment="1" applyProtection="1">
      <alignment horizontal="center"/>
      <protection locked="0"/>
    </xf>
    <xf numFmtId="169" fontId="18" fillId="7" borderId="0" xfId="0" applyNumberFormat="1" applyFont="1" applyFill="1" applyAlignment="1" applyProtection="1">
      <alignment horizontal="center" vertical="top"/>
      <protection locked="0"/>
    </xf>
    <xf numFmtId="0" fontId="18" fillId="7" borderId="0" xfId="0" applyFont="1" applyFill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wrapText="1"/>
      <protection locked="0"/>
    </xf>
    <xf numFmtId="172" fontId="18" fillId="7" borderId="0" xfId="0" applyNumberFormat="1" applyFont="1" applyFill="1" applyAlignment="1" applyProtection="1">
      <alignment horizontal="right" vertical="top"/>
      <protection locked="0"/>
    </xf>
    <xf numFmtId="177" fontId="18" fillId="7" borderId="0" xfId="0" applyNumberFormat="1" applyFont="1" applyFill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179" fontId="18" fillId="7" borderId="0" xfId="0" applyNumberFormat="1" applyFont="1" applyFill="1" applyAlignment="1" applyProtection="1">
      <alignment horizontal="center" vertical="top"/>
      <protection locked="0"/>
    </xf>
    <xf numFmtId="0" fontId="9" fillId="0" borderId="0" xfId="0" applyFont="1" applyProtection="1">
      <protection locked="0"/>
    </xf>
    <xf numFmtId="3" fontId="0" fillId="0" borderId="0" xfId="0" applyNumberFormat="1" applyProtection="1">
      <protection locked="0"/>
    </xf>
    <xf numFmtId="191" fontId="0" fillId="0" borderId="0" xfId="0" applyNumberFormat="1" applyAlignment="1" applyProtection="1">
      <alignment horizontal="center"/>
      <protection locked="0"/>
    </xf>
    <xf numFmtId="181" fontId="7" fillId="8" borderId="1" xfId="0" applyNumberFormat="1" applyFont="1" applyFill="1" applyBorder="1" applyAlignment="1">
      <alignment horizontal="center"/>
    </xf>
    <xf numFmtId="3" fontId="0" fillId="0" borderId="0" xfId="0" applyNumberFormat="1" applyAlignment="1">
      <alignment wrapText="1"/>
    </xf>
    <xf numFmtId="0" fontId="7" fillId="0" borderId="8" xfId="0" applyFont="1" applyBorder="1" applyAlignment="1">
      <alignment horizontal="left"/>
    </xf>
    <xf numFmtId="2" fontId="7" fillId="8" borderId="10" xfId="0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167" fontId="7" fillId="8" borderId="1" xfId="0" applyNumberFormat="1" applyFont="1" applyFill="1" applyBorder="1" applyAlignment="1">
      <alignment horizontal="center"/>
    </xf>
    <xf numFmtId="167" fontId="19" fillId="7" borderId="3" xfId="0" applyNumberFormat="1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 vertical="top"/>
    </xf>
    <xf numFmtId="0" fontId="18" fillId="7" borderId="4" xfId="0" applyFont="1" applyFill="1" applyBorder="1" applyAlignment="1">
      <alignment horizontal="center" vertical="top"/>
    </xf>
    <xf numFmtId="167" fontId="7" fillId="7" borderId="5" xfId="0" applyNumberFormat="1" applyFont="1" applyFill="1" applyBorder="1" applyAlignment="1">
      <alignment horizontal="right"/>
    </xf>
    <xf numFmtId="167" fontId="7" fillId="7" borderId="6" xfId="0" applyNumberFormat="1" applyFont="1" applyFill="1" applyBorder="1" applyAlignment="1">
      <alignment horizontal="left"/>
    </xf>
    <xf numFmtId="166" fontId="9" fillId="8" borderId="1" xfId="0" applyNumberFormat="1" applyFont="1" applyFill="1" applyBorder="1" applyAlignment="1">
      <alignment horizontal="center"/>
    </xf>
    <xf numFmtId="0" fontId="7" fillId="7" borderId="0" xfId="0" applyFont="1" applyFill="1" applyAlignment="1">
      <alignment horizontal="center" vertical="center" wrapText="1"/>
    </xf>
    <xf numFmtId="172" fontId="7" fillId="7" borderId="7" xfId="0" applyNumberFormat="1" applyFont="1" applyFill="1" applyBorder="1" applyAlignment="1">
      <alignment horizontal="center" vertical="center"/>
    </xf>
    <xf numFmtId="172" fontId="7" fillId="7" borderId="0" xfId="0" applyNumberFormat="1" applyFont="1" applyFill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79" fontId="18" fillId="0" borderId="10" xfId="0" applyNumberFormat="1" applyFont="1" applyBorder="1" applyAlignment="1">
      <alignment horizontal="center" vertical="top"/>
    </xf>
    <xf numFmtId="0" fontId="18" fillId="7" borderId="8" xfId="0" applyFont="1" applyFill="1" applyBorder="1" applyAlignment="1">
      <alignment horizontal="center" vertical="top"/>
    </xf>
    <xf numFmtId="0" fontId="8" fillId="7" borderId="12" xfId="0" applyFont="1" applyFill="1" applyBorder="1" applyAlignment="1">
      <alignment horizontal="right" vertical="center"/>
    </xf>
    <xf numFmtId="0" fontId="28" fillId="7" borderId="10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18" xfId="0" applyBorder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0" fillId="13" borderId="17" xfId="0" applyFill="1" applyBorder="1" applyAlignment="1">
      <alignment horizontal="center" wrapText="1"/>
    </xf>
    <xf numFmtId="0" fontId="32" fillId="0" borderId="19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wrapText="1"/>
    </xf>
    <xf numFmtId="0" fontId="0" fillId="16" borderId="1" xfId="0" applyFill="1" applyBorder="1" applyAlignment="1">
      <alignment horizontal="center"/>
    </xf>
    <xf numFmtId="0" fontId="0" fillId="15" borderId="19" xfId="0" applyFill="1" applyBorder="1" applyAlignment="1">
      <alignment horizontal="center"/>
    </xf>
    <xf numFmtId="0" fontId="0" fillId="23" borderId="1" xfId="0" applyFill="1" applyBorder="1" applyAlignment="1" applyProtection="1">
      <alignment horizontal="center"/>
      <protection hidden="1"/>
    </xf>
    <xf numFmtId="0" fontId="0" fillId="23" borderId="19" xfId="0" applyFill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 applyAlignment="1">
      <alignment horizontal="center" vertical="center" wrapText="1"/>
    </xf>
    <xf numFmtId="2" fontId="0" fillId="16" borderId="1" xfId="0" applyNumberFormat="1" applyFill="1" applyBorder="1" applyAlignment="1">
      <alignment horizontal="center" vertical="center" wrapText="1"/>
    </xf>
    <xf numFmtId="2" fontId="0" fillId="22" borderId="1" xfId="0" applyNumberFormat="1" applyFill="1" applyBorder="1" applyAlignment="1">
      <alignment horizontal="center" vertical="center" wrapText="1"/>
    </xf>
    <xf numFmtId="0" fontId="0" fillId="15" borderId="19" xfId="0" applyFill="1" applyBorder="1" applyAlignment="1">
      <alignment horizontal="center" wrapText="1"/>
    </xf>
    <xf numFmtId="0" fontId="0" fillId="23" borderId="19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0" fillId="0" borderId="0" xfId="0"/>
    <xf numFmtId="0" fontId="0" fillId="7" borderId="1" xfId="0" applyFill="1" applyBorder="1" applyAlignment="1">
      <alignment horizontal="center"/>
    </xf>
    <xf numFmtId="0" fontId="0" fillId="23" borderId="1" xfId="0" applyFill="1" applyBorder="1" applyAlignment="1" applyProtection="1">
      <alignment horizontal="center" vertical="center"/>
      <protection hidden="1"/>
    </xf>
    <xf numFmtId="0" fontId="0" fillId="8" borderId="1" xfId="0" applyFill="1" applyBorder="1"/>
    <xf numFmtId="0" fontId="0" fillId="12" borderId="1" xfId="0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12" borderId="1" xfId="0" applyFont="1" applyFill="1" applyBorder="1" applyAlignment="1" applyProtection="1">
      <alignment horizontal="center"/>
      <protection locked="0"/>
    </xf>
    <xf numFmtId="0" fontId="0" fillId="12" borderId="1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8" fillId="7" borderId="0" xfId="0" applyFont="1" applyFill="1" applyAlignment="1" applyProtection="1">
      <alignment horizontal="center" vertical="top"/>
      <protection locked="0"/>
    </xf>
    <xf numFmtId="0" fontId="9" fillId="24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</cellXfs>
  <cellStyles count="10">
    <cellStyle name="200" xfId="3" xr:uid="{00000000-0005-0000-0000-000008000000}"/>
    <cellStyle name="500" xfId="2" xr:uid="{00000000-0005-0000-0000-000007000000}"/>
    <cellStyle name="Czarny" xfId="6" xr:uid="{00000000-0005-0000-0000-00000B000000}"/>
    <cellStyle name="Excel Built-in Normal" xfId="8" xr:uid="{00000000-0005-0000-0000-00000D000000}"/>
    <cellStyle name="Excel Built-in Normal 1" xfId="9" xr:uid="{00000000-0005-0000-0000-00000E000000}"/>
    <cellStyle name="kolor" xfId="7" xr:uid="{00000000-0005-0000-0000-00000C000000}"/>
    <cellStyle name="M&amp;R" xfId="5" xr:uid="{00000000-0005-0000-0000-00000A000000}"/>
    <cellStyle name="mniej niz 200" xfId="4" xr:uid="{00000000-0005-0000-0000-000009000000}"/>
    <cellStyle name="Normal" xfId="0" builtinId="0"/>
    <cellStyle name="Αποτέλεσμα2" xfId="1" xr:uid="{00000000-0005-0000-0000-000006000000}"/>
  </cellStyles>
  <dxfs count="13">
    <dxf>
      <font>
        <color rgb="FF000000"/>
        <name val="Arial Unicode MS"/>
        <family val="2"/>
        <charset val="161"/>
      </font>
    </dxf>
    <dxf>
      <font>
        <color rgb="FFFF6600"/>
        <name val="Arial Unicode MS"/>
        <family val="2"/>
        <charset val="161"/>
      </font>
    </dxf>
    <dxf>
      <font>
        <name val="Arial Unicode MS"/>
        <family val="2"/>
        <charset val="161"/>
      </font>
      <fill>
        <patternFill>
          <bgColor rgb="FFFF6666"/>
        </patternFill>
      </fill>
    </dxf>
    <dxf>
      <font>
        <name val="Arial Unicode MS"/>
        <family val="2"/>
        <charset val="161"/>
      </font>
      <fill>
        <patternFill>
          <bgColor rgb="FF6699CC"/>
        </patternFill>
      </fill>
    </dxf>
    <dxf>
      <font>
        <name val="Arial Unicode MS"/>
        <family val="2"/>
        <charset val="161"/>
      </font>
      <fill>
        <patternFill>
          <bgColor rgb="FF99CC99"/>
        </patternFill>
      </fill>
    </dxf>
    <dxf>
      <font>
        <name val="Arial Unicode MS"/>
        <family val="2"/>
        <charset val="161"/>
      </font>
      <fill>
        <patternFill>
          <bgColor rgb="FF6699CC"/>
        </patternFill>
      </fill>
    </dxf>
    <dxf>
      <font>
        <name val="Arial Unicode MS"/>
        <family val="2"/>
        <charset val="161"/>
      </font>
      <fill>
        <patternFill>
          <bgColor rgb="FFFF6666"/>
        </patternFill>
      </fill>
    </dxf>
    <dxf>
      <font>
        <color rgb="FF000000"/>
        <name val="Arial Unicode MS"/>
        <family val="2"/>
        <charset val="161"/>
      </font>
    </dxf>
    <dxf>
      <font>
        <color rgb="FFFF6600"/>
        <name val="Arial Unicode MS"/>
        <family val="2"/>
        <charset val="161"/>
      </font>
    </dxf>
    <dxf>
      <font>
        <color rgb="FFFF6600"/>
        <name val="Arial Unicode MS"/>
        <family val="2"/>
        <charset val="161"/>
      </font>
    </dxf>
    <dxf>
      <font>
        <name val="Arial Unicode MS"/>
        <family val="2"/>
        <charset val="161"/>
      </font>
      <fill>
        <patternFill>
          <bgColor rgb="FFFF6666"/>
        </patternFill>
      </fill>
    </dxf>
    <dxf>
      <font>
        <name val="Arial Unicode MS"/>
        <family val="2"/>
        <charset val="161"/>
      </font>
      <fill>
        <patternFill>
          <bgColor rgb="FF6699CC"/>
        </patternFill>
      </fill>
    </dxf>
    <dxf>
      <font>
        <name val="Arial Unicode MS"/>
        <family val="2"/>
        <charset val="161"/>
      </font>
      <fill>
        <patternFill>
          <bgColor rgb="FF99CC9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79D1C"/>
      <rgbColor rgb="FF800080"/>
      <rgbColor rgb="FF008080"/>
      <rgbColor rgb="FFB2B2B2"/>
      <rgbColor rgb="FF808080"/>
      <rgbColor rgb="FF99CC99"/>
      <rgbColor rgb="FF9933FF"/>
      <rgbColor rgb="FFFFFFCC"/>
      <rgbColor rgb="FFCFE7F5"/>
      <rgbColor rgb="FF660066"/>
      <rgbColor rgb="FFFF6666"/>
      <rgbColor rgb="FF0066CC"/>
      <rgbColor rgb="FFDDDDDD"/>
      <rgbColor rgb="FF000080"/>
      <rgbColor rgb="FFFF00FF"/>
      <rgbColor rgb="FFFFD320"/>
      <rgbColor rgb="FF00FFFF"/>
      <rgbColor rgb="FF800080"/>
      <rgbColor rgb="FF800000"/>
      <rgbColor rgb="FF008080"/>
      <rgbColor rgb="FF0000FF"/>
      <rgbColor rgb="FF23B8DC"/>
      <rgbColor rgb="FFEEEEEE"/>
      <rgbColor rgb="FFCCFF99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6699CC"/>
      <rgbColor rgb="FF003366"/>
      <rgbColor rgb="FF339966"/>
      <rgbColor rgb="FF003300"/>
      <rgbColor rgb="FF333300"/>
      <rgbColor rgb="FFFF420E"/>
      <rgbColor rgb="FFFF3333"/>
      <rgbColor rgb="FF3333F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BD237"/>
  <sheetViews>
    <sheetView tabSelected="1" zoomScale="74" zoomScaleNormal="74" workbookViewId="0">
      <selection activeCell="B3" sqref="B3"/>
    </sheetView>
  </sheetViews>
  <sheetFormatPr defaultColWidth="11.5546875" defaultRowHeight="17.7" customHeight="1" outlineLevelCol="1"/>
  <cols>
    <col min="1" max="1" width="5.33203125" customWidth="1"/>
    <col min="2" max="2" width="20" style="5" customWidth="1"/>
    <col min="3" max="3" width="7.109375" customWidth="1"/>
    <col min="4" max="4" width="2.44140625" customWidth="1"/>
    <col min="5" max="5" width="7.5546875" customWidth="1"/>
    <col min="6" max="6" width="2.44140625" customWidth="1"/>
    <col min="7" max="7" width="8.88671875" customWidth="1"/>
    <col min="8" max="8" width="16.88671875" customWidth="1" outlineLevel="1"/>
    <col min="9" max="9" width="29.44140625" bestFit="1" customWidth="1" outlineLevel="1"/>
    <col min="10" max="10" width="23.33203125" customWidth="1" outlineLevel="1"/>
    <col min="11" max="12" width="22.88671875" customWidth="1"/>
    <col min="13" max="13" width="20.44140625" hidden="1" customWidth="1" outlineLevel="1"/>
    <col min="14" max="14" width="20.109375" hidden="1" customWidth="1" outlineLevel="1"/>
    <col min="15" max="15" width="12.6640625" bestFit="1" customWidth="1" collapsed="1"/>
    <col min="16" max="16" width="8.44140625" customWidth="1"/>
    <col min="17" max="17" width="15.33203125" customWidth="1"/>
    <col min="18" max="18" width="16.33203125" customWidth="1" outlineLevel="1"/>
    <col min="19" max="19" width="14" customWidth="1" outlineLevel="1"/>
    <col min="20" max="20" width="13" customWidth="1" outlineLevel="1"/>
    <col min="21" max="21" width="16.33203125" customWidth="1" outlineLevel="1"/>
    <col min="22" max="22" width="15" customWidth="1" outlineLevel="1"/>
    <col min="23" max="23" width="26.44140625" customWidth="1"/>
    <col min="24" max="24" width="20.6640625" customWidth="1" outlineLevel="1"/>
    <col min="25" max="25" width="24.109375" customWidth="1" outlineLevel="1"/>
    <col min="26" max="26" width="8.88671875" customWidth="1"/>
    <col min="27" max="27" width="7.5546875" customWidth="1"/>
    <col min="28" max="28" width="8.33203125" customWidth="1"/>
    <col min="29" max="29" width="6.88671875" customWidth="1"/>
    <col min="30" max="30" width="15" customWidth="1" outlineLevel="1"/>
    <col min="31" max="32" width="17.88671875" customWidth="1" outlineLevel="1"/>
    <col min="33" max="33" width="12.6640625" bestFit="1" customWidth="1" outlineLevel="1"/>
    <col min="34" max="34" width="13" customWidth="1"/>
    <col min="35" max="35" width="12" customWidth="1" outlineLevel="1"/>
    <col min="36" max="36" width="28.5546875" customWidth="1" outlineLevel="1"/>
    <col min="37" max="37" width="12.6640625" customWidth="1" outlineLevel="1"/>
    <col min="38" max="38" width="20.33203125" customWidth="1" outlineLevel="1"/>
    <col min="39" max="39" width="21.6640625" customWidth="1" outlineLevel="1"/>
    <col min="40" max="40" width="19.88671875" style="6" customWidth="1" outlineLevel="1"/>
    <col min="41" max="41" width="25.33203125" style="6" customWidth="1" outlineLevel="1"/>
    <col min="42" max="42" width="27.5546875" style="7" customWidth="1" outlineLevel="1"/>
    <col min="43" max="43" width="27.5546875" style="8" customWidth="1" outlineLevel="1"/>
    <col min="44" max="44" width="23.44140625" style="9" customWidth="1"/>
    <col min="45" max="45" width="7.5546875" customWidth="1"/>
    <col min="46" max="46" width="23.88671875" customWidth="1"/>
    <col min="47" max="48" width="31" customWidth="1"/>
    <col min="49" max="49" width="23.88671875" customWidth="1"/>
    <col min="50" max="51" width="33.88671875" customWidth="1"/>
    <col min="52" max="52" width="40.44140625" customWidth="1"/>
    <col min="53" max="53" width="29.33203125" customWidth="1"/>
    <col min="54" max="54" width="45.33203125" customWidth="1"/>
    <col min="55" max="55" width="15.5546875" style="10" customWidth="1"/>
    <col min="56" max="56" width="11.5546875" style="11"/>
  </cols>
  <sheetData>
    <row r="1" spans="1:56" ht="37.950000000000003" customHeight="1">
      <c r="A1" s="255" t="s">
        <v>0</v>
      </c>
      <c r="B1" s="255"/>
      <c r="C1" s="256" t="str">
        <f>CONCATENATE(AY4,AY8,AY12,AY16,AY20,AY24,AY28,AY32,AY36,AY40)</f>
        <v/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BC1"/>
      <c r="BD1"/>
    </row>
    <row r="2" spans="1:56" ht="41.1" customHeight="1">
      <c r="A2" s="2" t="s">
        <v>1</v>
      </c>
      <c r="B2" s="2" t="s">
        <v>2</v>
      </c>
      <c r="C2" s="257" t="s">
        <v>3</v>
      </c>
      <c r="D2" s="257"/>
      <c r="E2" s="257"/>
      <c r="F2" s="257"/>
      <c r="G2" s="257"/>
      <c r="H2" s="12" t="s">
        <v>4</v>
      </c>
      <c r="I2" s="3" t="s">
        <v>5</v>
      </c>
      <c r="J2" s="3" t="s">
        <v>6</v>
      </c>
      <c r="K2" s="258" t="s">
        <v>7</v>
      </c>
      <c r="L2" s="258"/>
      <c r="M2" s="13" t="s">
        <v>8</v>
      </c>
      <c r="N2" s="3" t="s">
        <v>9</v>
      </c>
      <c r="O2" s="257" t="s">
        <v>10</v>
      </c>
      <c r="P2" s="257"/>
      <c r="Q2" s="257"/>
      <c r="R2" s="258" t="s">
        <v>11</v>
      </c>
      <c r="S2" s="258"/>
      <c r="T2" s="258"/>
      <c r="U2" s="258" t="s">
        <v>12</v>
      </c>
      <c r="V2" s="258"/>
      <c r="W2" s="3" t="s">
        <v>13</v>
      </c>
      <c r="X2" s="3" t="s">
        <v>14</v>
      </c>
      <c r="Y2" s="3" t="s">
        <v>15</v>
      </c>
      <c r="Z2" s="257" t="s">
        <v>16</v>
      </c>
      <c r="AA2" s="257"/>
      <c r="AB2" s="257"/>
      <c r="AC2" s="257"/>
      <c r="AD2" s="3" t="s">
        <v>17</v>
      </c>
      <c r="AE2" s="3" t="s">
        <v>18</v>
      </c>
      <c r="AF2" s="3" t="s">
        <v>19</v>
      </c>
      <c r="AG2" s="3" t="s">
        <v>20</v>
      </c>
      <c r="AH2" s="3" t="s">
        <v>21</v>
      </c>
      <c r="AI2" s="2" t="s">
        <v>22</v>
      </c>
      <c r="AJ2" s="3" t="s">
        <v>23</v>
      </c>
      <c r="AK2" s="14" t="s">
        <v>24</v>
      </c>
      <c r="AL2" s="15" t="s">
        <v>25</v>
      </c>
      <c r="AM2" s="16" t="s">
        <v>26</v>
      </c>
      <c r="AN2" s="17" t="s">
        <v>27</v>
      </c>
      <c r="AO2" s="18" t="s">
        <v>28</v>
      </c>
      <c r="AP2" s="19" t="s">
        <v>29</v>
      </c>
      <c r="AQ2" s="19" t="s">
        <v>30</v>
      </c>
      <c r="AR2" s="20" t="s">
        <v>31</v>
      </c>
      <c r="AT2" s="3" t="s">
        <v>32</v>
      </c>
      <c r="AU2" s="21" t="s">
        <v>33</v>
      </c>
      <c r="AV2" s="21" t="s">
        <v>34</v>
      </c>
      <c r="BC2"/>
      <c r="BD2"/>
    </row>
    <row r="3" spans="1:56" ht="21">
      <c r="A3" s="254">
        <v>1</v>
      </c>
      <c r="B3" s="22" t="s">
        <v>35</v>
      </c>
      <c r="C3" s="235" t="str">
        <f ca="1">IF(AND(I4&gt;2855,N4&lt;&gt;"TEXO"),"two part box","")</f>
        <v/>
      </c>
      <c r="D3" s="235"/>
      <c r="E3" s="235"/>
      <c r="F3" s="235"/>
      <c r="G3" s="235"/>
      <c r="H3" s="23"/>
      <c r="I3" s="23" t="s">
        <v>36</v>
      </c>
      <c r="J3" s="236">
        <f ca="1">I4*I6/1000000/(J5*J6)</f>
        <v>1.3860000000000001E-3</v>
      </c>
      <c r="K3" s="237" t="str">
        <f ca="1">IF(AND(baza!$H2="progroup",I4&lt;700), "DOPŁATA DO TEKTURY","")</f>
        <v>DOPŁATA DO TEKTURY</v>
      </c>
      <c r="L3" s="237"/>
      <c r="M3" s="24">
        <v>0</v>
      </c>
      <c r="N3" s="25" t="str">
        <f ca="1">IF(AND(ISOWA!$B5=1,W3&lt;3),"ISOWA", IF(AND(ETERNA!B5=1,W3=0),"ETERNA",""))</f>
        <v/>
      </c>
      <c r="O3" s="26">
        <f ca="1">Pakowanie!K3</f>
        <v>1</v>
      </c>
      <c r="P3" s="238" t="s">
        <v>37</v>
      </c>
      <c r="Q3" s="238"/>
      <c r="R3" s="27"/>
      <c r="S3" s="28" t="s">
        <v>38</v>
      </c>
      <c r="T3" s="29" t="s">
        <v>39</v>
      </c>
      <c r="U3" s="239" t="s">
        <v>40</v>
      </c>
      <c r="V3" s="239"/>
      <c r="W3" s="30">
        <v>0</v>
      </c>
      <c r="X3" s="31">
        <f ca="1">IF(AH3&gt;0,(IF((AQ3&gt;=500),VLOOKUP($K$6,baza!$A$1:$F$352,3,0),VLOOKUP($K$6,baza!$A$1:$F$352,3,0)+0.1)),"")</f>
        <v>2.2400000000000002</v>
      </c>
      <c r="Y3" s="1">
        <f ca="1">IF(AH3&gt;0,(J$3*X3),"")</f>
        <v>3.1046400000000005E-3</v>
      </c>
      <c r="Z3" s="259">
        <f ca="1">J3*L4/1000</f>
        <v>1.0187099999999999E-3</v>
      </c>
      <c r="AA3" s="240"/>
      <c r="AB3" s="241" t="s">
        <v>41</v>
      </c>
      <c r="AC3" s="241"/>
      <c r="AD3" s="31" t="s">
        <v>1165</v>
      </c>
      <c r="AE3" s="31" t="e">
        <f t="shared" ref="AE3:AE42" ca="1" si="0">IF(AH3&gt;0,(AT3/AH3),"")</f>
        <v>#VALUE!</v>
      </c>
      <c r="AF3" s="31" t="s">
        <v>1165</v>
      </c>
      <c r="AG3" s="31" t="str">
        <f>IFERROR(IF(AH3&gt;0,(AN3/AH3),""),"")</f>
        <v/>
      </c>
      <c r="AH3" s="32">
        <v>1000</v>
      </c>
      <c r="AI3" s="32" t="e">
        <f ca="1">IF(AH3&gt;0,(ROUNDUP(AH3/O$5,0)*O$3),"")</f>
        <v>#DIV/0!</v>
      </c>
      <c r="AJ3" s="33" t="e">
        <f ca="1">IF(AH3&gt;0,SUM(Y3,AD3,AE3,AG3),"")</f>
        <v>#VALUE!</v>
      </c>
      <c r="AK3" s="34" t="str">
        <f ca="1">IFERROR(IF(AH3&gt;0,AN3/(AH3*SUM(Y3,AD3)),""),"")</f>
        <v/>
      </c>
      <c r="AL3" s="35"/>
      <c r="AM3" s="36" t="str">
        <f>IF(G4&gt;0,(301*J5*1000/I4),"")</f>
        <v/>
      </c>
      <c r="AN3" s="37" t="str">
        <f t="shared" ref="AN3:AN42" si="1">IF(AL3&gt;0,(Y3+AD3)*AH3*AL3,"")</f>
        <v/>
      </c>
      <c r="AO3" s="242"/>
      <c r="AP3" s="38">
        <f ca="1">(I4/J5/J6)*AH3/1000</f>
        <v>63</v>
      </c>
      <c r="AQ3" s="38">
        <f ca="1">AH3*$J$3</f>
        <v>1.3860000000000001</v>
      </c>
      <c r="AR3" s="39" t="e">
        <f ca="1">IF(AH3&gt;0,((AJ3/SUM($AV$3,AF3))*1000),"")</f>
        <v>#VALUE!</v>
      </c>
      <c r="AT3" s="31" t="str">
        <f ca="1">IFERROR(AI3*$AU$3,"")</f>
        <v/>
      </c>
      <c r="AU3" s="40">
        <v>0</v>
      </c>
      <c r="AV3" s="40">
        <v>4</v>
      </c>
      <c r="BC3"/>
      <c r="BD3"/>
    </row>
    <row r="4" spans="1:56" ht="17.7" customHeight="1">
      <c r="A4" s="254"/>
      <c r="B4" s="243" t="s">
        <v>42</v>
      </c>
      <c r="C4" s="244"/>
      <c r="D4" s="244"/>
      <c r="E4" s="245"/>
      <c r="F4" s="245"/>
      <c r="G4" s="246"/>
      <c r="H4" s="41" t="str" cm="1">
        <f t="array" aca="1" ref="H4" ca="1">IF(C3="two part box",IF((K4="C"),INDIRECT("'"&amp;B4&amp;"'!F10"),IF((K4="EB"),INDIRECT("'"&amp;B4&amp;"'!F11"),IF((K4="BC"),INDIRECT("'"&amp;B4&amp;"'!F12"),INDIRECT("'"&amp;B4&amp;"'!F9")))),"")</f>
        <v/>
      </c>
      <c r="I4" s="230" cm="1">
        <f t="array" aca="1" ref="I4" ca="1">_xlfn.LET(
  _xlpm.code, TRIM(SUBSTITUTE(K4,"/","")),
  _xlpm.r, _xlfn.XLOOKUP(_xlpm.code, {"E","B","C","EB","BC"}, {3,3,4,5,6}, ""),
  _xlpm.val, IF(_xlpm.r="",0,N(INDIRECT("'"&amp;B4&amp;"'!F"&amp;_xlpm.r))),
  _xlpm.val*N(J5) + IF(B3="Die cut",25,0)
)</f>
        <v>63</v>
      </c>
      <c r="J4" s="236"/>
      <c r="K4" s="42" t="str">
        <f>VLOOKUP(K6,baza!$A$1:$F$353,6,0)</f>
        <v>BC</v>
      </c>
      <c r="L4" s="232">
        <f>VLOOKUP(K6,baza!$A$1:$F$353,5,0)</f>
        <v>735</v>
      </c>
      <c r="M4" s="44" t="s">
        <v>43</v>
      </c>
      <c r="N4" s="45" t="str">
        <f ca="1">IF(AND(N3&lt;&gt;"ISOWA",N3&lt;&gt;"ETERNA"),IF(AND(TEXO!B5=1,W3&lt;4),"TEXO",IF(AND(TEXO!B5=1,W3&lt;4),"TEXO+KLEJ","")),"")</f>
        <v/>
      </c>
      <c r="O4" s="46">
        <f>Pakowanie!H3</f>
        <v>0</v>
      </c>
      <c r="P4" s="47">
        <f>Pakowanie!I3</f>
        <v>0</v>
      </c>
      <c r="Q4" s="48">
        <v>2100</v>
      </c>
      <c r="R4" s="49"/>
      <c r="S4" s="50">
        <f>IF(OR(P3="EURO",   P3="industrial 1200x800",    P3="industrial 1200x1000"),1200,    IF(P3="special 1600x1200",1600,    IF(P3="special 2400x1200",2400,   IF(P3="special 2000x1800",2000,    " "))))</f>
        <v>1200</v>
      </c>
      <c r="T4" s="51">
        <f>IF(OR(P3="EURO",P3="industrial 1200x800"),800,    IF(P3="industrial 1200x1000",1000,     IF(OR(P3="special 1600x1200",P3="special 2400x1200"),1200,   IF(P3="special 2000x1800",1800,  " "))))</f>
        <v>1000</v>
      </c>
      <c r="U4" s="52">
        <f ca="1">Pakowanie!C3</f>
        <v>40</v>
      </c>
      <c r="V4" s="52">
        <f ca="1">Pakowanie!D3</f>
        <v>40</v>
      </c>
      <c r="W4" s="247" t="s">
        <v>43</v>
      </c>
      <c r="X4" s="31" t="str">
        <f>IF(AH4&gt;0,(IF((AQ4&gt;=500),VLOOKUP($K$6,baza!$A$1:$F$352,3,0),VLOOKUP($K$6,baza!$A$1:$F$352,3,0)+0.1)),"")</f>
        <v/>
      </c>
      <c r="Y4" s="1" t="str">
        <f>IF(AH4&gt;0,(J$3*X4),"")</f>
        <v/>
      </c>
      <c r="Z4" s="240"/>
      <c r="AA4" s="240"/>
      <c r="AB4" s="241"/>
      <c r="AC4" s="241"/>
      <c r="AD4" s="31" t="s">
        <v>1165</v>
      </c>
      <c r="AE4" s="31" t="str">
        <f t="shared" si="0"/>
        <v/>
      </c>
      <c r="AF4" s="31" t="s">
        <v>1165</v>
      </c>
      <c r="AG4" s="31" t="str">
        <f t="shared" ref="AG4:AG42" si="2">IFERROR(IF(AH4&gt;0,(AN4/AH4),""),"")</f>
        <v/>
      </c>
      <c r="AH4" s="32"/>
      <c r="AI4" s="32" t="str">
        <f>IF(AH4&gt;0,(ROUNDUP(AH4/O$5,0)*O$3),"")</f>
        <v/>
      </c>
      <c r="AJ4" s="33" t="str">
        <f t="shared" ref="AJ4:AJ42" si="3">IF(AH4&gt;0,SUM(Y4,AD4,AE4,AG4),"")</f>
        <v/>
      </c>
      <c r="AK4" s="34" t="str">
        <f t="shared" ref="AK4:AK42" si="4">IFERROR(IF(AH4&gt;0,AN4/(AH4*SUM(Y4,AD4)),""),"")</f>
        <v/>
      </c>
      <c r="AL4" s="35"/>
      <c r="AM4" s="53" t="str">
        <f>IF(G4&gt;0,(501*J5*1000/I4),"")</f>
        <v/>
      </c>
      <c r="AN4" s="37" t="str">
        <f t="shared" si="1"/>
        <v/>
      </c>
      <c r="AO4" s="242"/>
      <c r="AP4" s="38">
        <f ca="1">(I4/J5/J6)*AH4/1000</f>
        <v>0</v>
      </c>
      <c r="AQ4" s="38">
        <f ca="1">AH4*$J$3</f>
        <v>0</v>
      </c>
      <c r="AR4" s="39" t="str">
        <f t="shared" ref="AR4:AR42" si="5">IF(AH4&gt;0,((AJ4/SUM($AV$3,AF4))*1000),"")</f>
        <v/>
      </c>
      <c r="AT4" s="31" t="str">
        <f t="shared" ref="AT4:AT42" si="6">IFERROR(AI4*$AU$3,"")</f>
        <v/>
      </c>
      <c r="AU4" s="54"/>
      <c r="AY4" s="55" t="str">
        <f>IF(E4&gt;0,CONCATENATE(C4,IF(C4&gt;0,"x",""),E4,"x",G4),"")</f>
        <v/>
      </c>
      <c r="BC4"/>
      <c r="BD4"/>
    </row>
    <row r="5" spans="1:56" ht="17.399999999999999">
      <c r="A5" s="254"/>
      <c r="B5" s="243"/>
      <c r="C5" s="244"/>
      <c r="D5" s="244"/>
      <c r="E5" s="245"/>
      <c r="F5" s="245"/>
      <c r="G5" s="246"/>
      <c r="H5" s="56"/>
      <c r="I5" s="23" t="s">
        <v>44</v>
      </c>
      <c r="J5" s="57">
        <v>1</v>
      </c>
      <c r="K5" s="248" t="str">
        <f>VLOOKUP(K6,baza!$A$1:$F$353,4,0)</f>
        <v>TL170/W80/W90/W135/TL170</v>
      </c>
      <c r="L5" s="248"/>
      <c r="M5" s="45" t="s">
        <v>43</v>
      </c>
      <c r="N5" s="45" t="str">
        <f ca="1">IF(AND(N3&lt;&gt;"ISOWA",N3&lt;&gt;"ETERNA",N4&lt;&gt;"TEXO",N4&lt;&gt;"TEXO+KLEJ"),IF(AND(KYS!$B4=1,KYS!$C7=1),"KYS",""),"")</f>
        <v/>
      </c>
      <c r="O5" s="249">
        <f>Pakowanie!L3</f>
        <v>0</v>
      </c>
      <c r="P5" s="249"/>
      <c r="Q5" s="249"/>
      <c r="R5" s="58" t="s">
        <v>45</v>
      </c>
      <c r="S5" s="27">
        <v>100</v>
      </c>
      <c r="T5" s="27">
        <v>100</v>
      </c>
      <c r="U5" s="250" t="s">
        <v>46</v>
      </c>
      <c r="V5" s="250"/>
      <c r="W5" s="247"/>
      <c r="X5" s="31" t="str">
        <f>IF(AH5&gt;0,(IF((AQ5&gt;=500),VLOOKUP($K$6,baza!$A$1:$F$352,3,0),VLOOKUP($K$6,baza!$A$1:$F$352,3,0)+0.1)),"")</f>
        <v/>
      </c>
      <c r="Y5" s="1" t="str">
        <f>IF(AH5&gt;0,(J$3*X5),"")</f>
        <v/>
      </c>
      <c r="Z5" s="60">
        <f>AH3</f>
        <v>1000</v>
      </c>
      <c r="AA5" s="61" t="s">
        <v>47</v>
      </c>
      <c r="AB5" s="62">
        <f ca="1">AH3*Z3</f>
        <v>1.01871</v>
      </c>
      <c r="AC5" s="63" t="s">
        <v>48</v>
      </c>
      <c r="AD5" s="31" t="s">
        <v>1165</v>
      </c>
      <c r="AE5" s="31" t="str">
        <f t="shared" si="0"/>
        <v/>
      </c>
      <c r="AF5" s="31" t="s">
        <v>1165</v>
      </c>
      <c r="AG5" s="31" t="str">
        <f t="shared" si="2"/>
        <v/>
      </c>
      <c r="AH5" s="32"/>
      <c r="AI5" s="32" t="str">
        <f>IF(AH5&gt;0,(ROUNDUP(AH5/O$5,0)*O$3),"")</f>
        <v/>
      </c>
      <c r="AJ5" s="33" t="str">
        <f t="shared" si="3"/>
        <v/>
      </c>
      <c r="AK5" s="34" t="str">
        <f t="shared" si="4"/>
        <v/>
      </c>
      <c r="AL5" s="35"/>
      <c r="AM5" s="64" t="str">
        <f>IF(G4&gt;0,201/J3,"")</f>
        <v/>
      </c>
      <c r="AN5" s="37" t="str">
        <f t="shared" si="1"/>
        <v/>
      </c>
      <c r="AO5" s="242"/>
      <c r="AP5" s="38">
        <f ca="1">(I4/J5/J6)*AH5/1000</f>
        <v>0</v>
      </c>
      <c r="AQ5" s="38">
        <f ca="1">AH5*$J$3</f>
        <v>0</v>
      </c>
      <c r="AR5" s="39" t="str">
        <f t="shared" si="5"/>
        <v/>
      </c>
      <c r="AT5" s="31" t="str">
        <f t="shared" si="6"/>
        <v/>
      </c>
      <c r="AU5" s="54"/>
      <c r="BC5"/>
      <c r="BD5"/>
    </row>
    <row r="6" spans="1:56" ht="18" thickBot="1">
      <c r="A6" s="254"/>
      <c r="B6" s="65"/>
      <c r="C6" s="251" t="s">
        <v>1165</v>
      </c>
      <c r="D6" s="251"/>
      <c r="E6" s="251"/>
      <c r="F6" s="251"/>
      <c r="G6" s="66"/>
      <c r="H6" s="67" t="str">
        <f ca="1">IF(C3="two part box",I6,"")</f>
        <v/>
      </c>
      <c r="I6" s="230" cm="1">
        <f t="array" aca="1" ref="I6" ca="1">_xlfn.LET(
  _xlpm.code, TRIM(SUBSTITUTE(K4,"/","")),
  _xlpm.r, _xlfn.XLOOKUP(_xlpm.code,{"E","B","C","EB","BC"},{3,3,4,5,6},""),
  _xlpm.val, IF(_xlpm.r="",0,N(INDIRECT("'"&amp;B4&amp;"'!G"&amp;_xlpm.r))),
  _xlpm.val*N(J6) + IF(B3="Die cut",25,0)
)</f>
        <v>22</v>
      </c>
      <c r="J6" s="68">
        <v>1</v>
      </c>
      <c r="K6" s="252" t="s">
        <v>49</v>
      </c>
      <c r="L6" s="252" t="s">
        <v>50</v>
      </c>
      <c r="M6" s="69"/>
      <c r="N6" s="69" t="str">
        <f ca="1">IF(OR(AND(TEXO!B5=2,W3&lt;4),AND(ETERNA!H5=1,ETERNA!H8=1)),"+KLEJ RĘCZNE","")</f>
        <v/>
      </c>
      <c r="O6" s="249"/>
      <c r="P6" s="249"/>
      <c r="Q6" s="249"/>
      <c r="R6" s="58" t="s">
        <v>51</v>
      </c>
      <c r="S6" s="50">
        <f>S4+S5*2</f>
        <v>1400</v>
      </c>
      <c r="T6" s="50">
        <f>T4+T5*2</f>
        <v>1200</v>
      </c>
      <c r="U6" s="70">
        <f ca="1">IF(O4=Pakowanie!Q5,Pakowanie!K5,Pakowanie!K6)</f>
        <v>35</v>
      </c>
      <c r="V6" s="70">
        <f ca="1">IF(Pakowanie!K5=U6,Pakowanie!L5,Pakowanie!L6)</f>
        <v>30</v>
      </c>
      <c r="W6" s="247"/>
      <c r="X6" s="31" t="str">
        <f>IF(AH6&gt;0,(IF((AQ6&gt;=500),VLOOKUP($K$6,baza!$A$1:$F$352,3,0),VLOOKUP($K$6,baza!$A$1:$F$352,3,0)+0.1)),"")</f>
        <v/>
      </c>
      <c r="Y6" s="1" t="str">
        <f>IF(AH6&gt;0,(J$3*X6),"")</f>
        <v/>
      </c>
      <c r="Z6" s="253"/>
      <c r="AA6" s="253"/>
      <c r="AB6" s="253"/>
      <c r="AC6" s="253"/>
      <c r="AD6" s="71" t="s">
        <v>1165</v>
      </c>
      <c r="AE6" s="72" t="str">
        <f t="shared" si="0"/>
        <v/>
      </c>
      <c r="AF6" s="72" t="s">
        <v>1165</v>
      </c>
      <c r="AG6" s="72" t="str">
        <f t="shared" si="2"/>
        <v/>
      </c>
      <c r="AH6" s="73"/>
      <c r="AI6" s="73" t="str">
        <f>IF(AH6&gt;0,(ROUNDUP(AH6/O$5,0)*O$3),"")</f>
        <v/>
      </c>
      <c r="AJ6" s="33" t="str">
        <f t="shared" si="3"/>
        <v/>
      </c>
      <c r="AK6" s="34" t="str">
        <f t="shared" si="4"/>
        <v/>
      </c>
      <c r="AL6" s="35"/>
      <c r="AM6" s="74" t="str">
        <f>IF(G4&gt;0,501/J3,"")</f>
        <v/>
      </c>
      <c r="AN6" s="37" t="str">
        <f t="shared" si="1"/>
        <v/>
      </c>
      <c r="AO6" s="75" t="s">
        <v>43</v>
      </c>
      <c r="AP6" s="38">
        <f ca="1">(I4/J5/J6)*AH6/1000</f>
        <v>0</v>
      </c>
      <c r="AQ6" s="38">
        <f ca="1">AH6*$J$3</f>
        <v>0</v>
      </c>
      <c r="AR6" s="39" t="str">
        <f t="shared" si="5"/>
        <v/>
      </c>
      <c r="AT6" s="31" t="str">
        <f t="shared" si="6"/>
        <v/>
      </c>
      <c r="AU6" s="54"/>
      <c r="BC6"/>
      <c r="BD6"/>
    </row>
    <row r="7" spans="1:56" ht="18" thickTop="1">
      <c r="A7" s="254">
        <v>2</v>
      </c>
      <c r="B7" s="22" t="s">
        <v>35</v>
      </c>
      <c r="C7" s="235" t="str">
        <f ca="1">IF(AND(I8&gt;2855,N8&lt;&gt;"TEXO"),"two part box","")</f>
        <v/>
      </c>
      <c r="D7" s="235"/>
      <c r="E7" s="235"/>
      <c r="F7" s="235"/>
      <c r="G7" s="235"/>
      <c r="H7" s="23"/>
      <c r="I7" s="23" t="s">
        <v>36</v>
      </c>
      <c r="J7" s="236">
        <f ca="1">I8*I10/1000000/(J9*J10)</f>
        <v>1.3860000000000001E-3</v>
      </c>
      <c r="K7" s="237" t="str">
        <f ca="1">IF(AND(baza!$H3="progroup",I8&lt;700), "DOPŁATA DO TEKTURY","")</f>
        <v/>
      </c>
      <c r="L7" s="237"/>
      <c r="M7" s="24">
        <v>0</v>
      </c>
      <c r="N7" s="25" t="str">
        <f ca="1">IF(AND(ISOWA!$B14=1,W7&lt;3),"ISOWA", IF(AND(ETERNA!B14=1,W7=0),"ETERNA",""))</f>
        <v/>
      </c>
      <c r="O7" s="26">
        <f ca="1">Pakowanie!K12</f>
        <v>1</v>
      </c>
      <c r="P7" s="238" t="s">
        <v>37</v>
      </c>
      <c r="Q7" s="238"/>
      <c r="R7" s="27"/>
      <c r="S7" s="28" t="s">
        <v>38</v>
      </c>
      <c r="T7" s="29" t="s">
        <v>39</v>
      </c>
      <c r="U7" s="239" t="s">
        <v>40</v>
      </c>
      <c r="V7" s="239"/>
      <c r="W7" s="30">
        <v>0</v>
      </c>
      <c r="X7" s="31" t="str">
        <f>IF(AH7&gt;0,(IF((AQ7&gt;=500),VLOOKUP($K$10,baza!$A$1:$F$352,3,0),VLOOKUP($K$10,baza!$A$1:$F$352,3,0)+0.1)),"")</f>
        <v/>
      </c>
      <c r="Y7" s="1" t="str">
        <f>IF(AH7&gt;0,(J$7*X7),"")</f>
        <v/>
      </c>
      <c r="Z7" s="240">
        <f ca="1">J7*L8/1000</f>
        <v>8.1774000000000007E-4</v>
      </c>
      <c r="AA7" s="240"/>
      <c r="AB7" s="241" t="s">
        <v>41</v>
      </c>
      <c r="AC7" s="241"/>
      <c r="AD7" s="31" t="s">
        <v>1165</v>
      </c>
      <c r="AE7" s="31" t="str">
        <f t="shared" si="0"/>
        <v/>
      </c>
      <c r="AF7" s="31" t="s">
        <v>1165</v>
      </c>
      <c r="AG7" s="233" t="str">
        <f t="shared" si="2"/>
        <v/>
      </c>
      <c r="AH7" s="32"/>
      <c r="AI7" s="32" t="str">
        <f>IF(AH7&gt;0,(ROUNDUP(AH7/O$9,0)*O$7),"")</f>
        <v/>
      </c>
      <c r="AJ7" s="33" t="str">
        <f t="shared" si="3"/>
        <v/>
      </c>
      <c r="AK7" s="34" t="str">
        <f t="shared" si="4"/>
        <v/>
      </c>
      <c r="AL7" s="35"/>
      <c r="AM7" s="36" t="str">
        <f>IF(G8&gt;0,(301*J9*1000/I8),"")</f>
        <v/>
      </c>
      <c r="AN7" s="37" t="str">
        <f t="shared" si="1"/>
        <v/>
      </c>
      <c r="AO7" s="242"/>
      <c r="AP7" s="38">
        <f ca="1">(I8/J9/J10)*AH7/1000</f>
        <v>0</v>
      </c>
      <c r="AQ7" s="38">
        <f ca="1">AH7*$J$7</f>
        <v>0</v>
      </c>
      <c r="AR7" s="39" t="str">
        <f t="shared" si="5"/>
        <v/>
      </c>
      <c r="AT7" s="31" t="str">
        <f t="shared" si="6"/>
        <v/>
      </c>
      <c r="AU7" s="54"/>
      <c r="BC7"/>
      <c r="BD7"/>
    </row>
    <row r="8" spans="1:56" ht="17.7" customHeight="1">
      <c r="A8" s="254"/>
      <c r="B8" s="243" t="s">
        <v>42</v>
      </c>
      <c r="C8" s="244"/>
      <c r="D8" s="244"/>
      <c r="E8" s="245"/>
      <c r="F8" s="245"/>
      <c r="G8" s="246"/>
      <c r="H8" s="41" t="str">
        <f ca="1">IF(C7="two part box",IF((K8="C"),INDIRECT(B8&amp;".F22"),IF((K8="EB"),INDIRECT(B8&amp;".F23"),IF((K8="BC"),INDIRECT(B8&amp;".F24"),INDIRECT(B8&amp;".F21")))),"")</f>
        <v/>
      </c>
      <c r="I8" s="230" cm="1">
        <f t="array" aca="1" ref="I8" ca="1">_xlfn.LET(
  _xlpm.code, TRIM(SUBSTITUTE(K8,"/","")),
  _xlpm.r, _xlfn.XLOOKUP(_xlpm.code, {"E","B","C","EB","BC"}, {15,15,16,17,18}, ""),
  _xlpm.val, IF(_xlpm.r="",0,N(INDIRECT("'"&amp;B8&amp;"'!F"&amp;_xlpm.r))),
  _xlpm.val*N(J9) + IF(B7="Die cut",25,0)
)</f>
        <v>63</v>
      </c>
      <c r="J8" s="236"/>
      <c r="K8" s="42" t="str">
        <f>VLOOKUP(K10,baza!$A$1:$F$353,6,0)</f>
        <v>BC</v>
      </c>
      <c r="L8" s="43">
        <f>VLOOKUP(K10,baza!$A$1:$F$353,5,0)</f>
        <v>590</v>
      </c>
      <c r="M8" s="44" t="s">
        <v>43</v>
      </c>
      <c r="N8" s="45" t="str">
        <f ca="1">IF(AND(N7&lt;&gt;"ISOWA",N7&lt;&gt;"ETERNA"),IF(AND(TEXO!B14=1,W7&lt;4),"TEXO",IF(AND(TEXO!B14=1,W7&lt;4),"TEXO+KLEJ","")),"")</f>
        <v/>
      </c>
      <c r="O8" s="46">
        <f>Pakowanie!H12</f>
        <v>0</v>
      </c>
      <c r="P8" s="47">
        <f>Pakowanie!I12</f>
        <v>0</v>
      </c>
      <c r="Q8" s="48">
        <v>2100</v>
      </c>
      <c r="R8" s="49"/>
      <c r="S8" s="50">
        <f>IF(OR(P7="EURO",   P7="industrial 1200x800",    P7="industrial 1200x1000"),1200,    IF(P7="special 1600x1200",1600,    IF(P7="special 2400x1200",2400,   IF(P7="special 2000x1800",2000,    " "))))</f>
        <v>1200</v>
      </c>
      <c r="T8" s="51">
        <f>IF(OR(P7="EURO",P7="industrial 1200x800"),800,    IF(P7="industrial 1200x1000",1000,     IF(OR(P7="special 1600x1200",P7="special 2400x1200"),1200,   IF(P7="special 2000x1800",1800,  " "))))</f>
        <v>1000</v>
      </c>
      <c r="U8" s="59">
        <f ca="1">Pakowanie!C12</f>
        <v>40</v>
      </c>
      <c r="V8" s="59">
        <f ca="1">Pakowanie!D12</f>
        <v>40</v>
      </c>
      <c r="W8" s="247" t="s">
        <v>43</v>
      </c>
      <c r="X8" s="31" t="str">
        <f>IF(AH8&gt;0,(IF((AQ8&gt;=500),VLOOKUP($K$10,baza!$A$1:$F$352,3,0),VLOOKUP($K$10,baza!$A$1:$F$352,3,0)+0.1)),"")</f>
        <v/>
      </c>
      <c r="Y8" s="1" t="str">
        <f>IF(AH8&gt;0,(J$7*X8),"")</f>
        <v/>
      </c>
      <c r="Z8" s="240"/>
      <c r="AA8" s="240"/>
      <c r="AB8" s="241"/>
      <c r="AC8" s="241"/>
      <c r="AD8" s="31" t="s">
        <v>1165</v>
      </c>
      <c r="AE8" s="31" t="str">
        <f t="shared" si="0"/>
        <v/>
      </c>
      <c r="AF8" s="31" t="s">
        <v>1165</v>
      </c>
      <c r="AG8" s="31" t="str">
        <f t="shared" si="2"/>
        <v/>
      </c>
      <c r="AH8" s="32"/>
      <c r="AI8" s="32" t="str">
        <f>IF(AH8&gt;0,(ROUNDUP(AH8/O$9,0)*O$7),"")</f>
        <v/>
      </c>
      <c r="AJ8" s="33" t="str">
        <f t="shared" si="3"/>
        <v/>
      </c>
      <c r="AK8" s="34" t="str">
        <f t="shared" si="4"/>
        <v/>
      </c>
      <c r="AL8" s="35"/>
      <c r="AM8" s="53" t="str">
        <f>IF(G8&gt;0,(501*J9*1000/I8),"")</f>
        <v/>
      </c>
      <c r="AN8" s="37" t="str">
        <f t="shared" si="1"/>
        <v/>
      </c>
      <c r="AO8" s="242"/>
      <c r="AP8" s="38">
        <f ca="1">(I8/J9/J10)*AH8/1000</f>
        <v>0</v>
      </c>
      <c r="AQ8" s="38">
        <f ca="1">AH8*$J$7</f>
        <v>0</v>
      </c>
      <c r="AR8" s="39" t="str">
        <f t="shared" si="5"/>
        <v/>
      </c>
      <c r="AT8" s="31" t="str">
        <f t="shared" si="6"/>
        <v/>
      </c>
      <c r="AU8" s="54"/>
      <c r="AY8" s="55" t="str">
        <f>IF(E8&gt;0,CONCATENATE("_",C8,IF(C8&gt;0,"x",""),E8,"x",G8),"")</f>
        <v/>
      </c>
      <c r="BC8"/>
      <c r="BD8"/>
    </row>
    <row r="9" spans="1:56" ht="17.399999999999999">
      <c r="A9" s="254"/>
      <c r="B9" s="243"/>
      <c r="C9" s="244"/>
      <c r="D9" s="244"/>
      <c r="E9" s="245"/>
      <c r="F9" s="245"/>
      <c r="G9" s="246"/>
      <c r="H9" s="56"/>
      <c r="I9" s="23" t="s">
        <v>44</v>
      </c>
      <c r="J9" s="57">
        <v>1</v>
      </c>
      <c r="K9" s="248" t="str">
        <f>VLOOKUP(K10,baza!$A$1:$F$353,4,0)</f>
        <v>TL135/W90/W90/W90/TL100</v>
      </c>
      <c r="L9" s="248"/>
      <c r="M9" s="45" t="s">
        <v>43</v>
      </c>
      <c r="N9" s="45" t="str">
        <f ca="1">IF(AND(N7&lt;&gt;"ISOWA",N7&lt;&gt;"ETERNA",N8&lt;&gt;"TEXO",N8&lt;&gt;"TEXO+KLEJ"),IF(AND(KYS!$B12=1,KYS!$C15=1),"KYS",""),"")</f>
        <v/>
      </c>
      <c r="O9" s="249">
        <f>Pakowanie!L12</f>
        <v>0</v>
      </c>
      <c r="P9" s="249"/>
      <c r="Q9" s="249"/>
      <c r="R9" s="58" t="s">
        <v>45</v>
      </c>
      <c r="S9" s="27">
        <v>150</v>
      </c>
      <c r="T9" s="27">
        <v>150</v>
      </c>
      <c r="U9" s="250" t="s">
        <v>46</v>
      </c>
      <c r="V9" s="250"/>
      <c r="W9" s="247"/>
      <c r="X9" s="31" t="str">
        <f>IF(AH9&gt;0,(IF((AQ9&gt;=500),VLOOKUP($K$10,baza!$A$1:$F$352,3,0),VLOOKUP($K$10,baza!$A$1:$F$352,3,0)+0.1)),"")</f>
        <v/>
      </c>
      <c r="Y9" s="1" t="str">
        <f>IF(AH9&gt;0,(J$7*X9),"")</f>
        <v/>
      </c>
      <c r="Z9" s="60">
        <f>AH7</f>
        <v>0</v>
      </c>
      <c r="AA9" s="61" t="s">
        <v>47</v>
      </c>
      <c r="AB9" s="62">
        <f ca="1">AH7*Z7</f>
        <v>0</v>
      </c>
      <c r="AC9" s="63" t="s">
        <v>48</v>
      </c>
      <c r="AD9" s="31" t="s">
        <v>1165</v>
      </c>
      <c r="AE9" s="31" t="str">
        <f t="shared" si="0"/>
        <v/>
      </c>
      <c r="AF9" s="31" t="s">
        <v>1165</v>
      </c>
      <c r="AG9" s="31" t="str">
        <f t="shared" si="2"/>
        <v/>
      </c>
      <c r="AH9" s="32"/>
      <c r="AI9" s="32" t="str">
        <f>IF(AH9&gt;0,(ROUNDUP(AH9/O$9,0)*O$7),"")</f>
        <v/>
      </c>
      <c r="AJ9" s="33" t="str">
        <f t="shared" si="3"/>
        <v/>
      </c>
      <c r="AK9" s="34" t="str">
        <f t="shared" si="4"/>
        <v/>
      </c>
      <c r="AL9" s="35"/>
      <c r="AM9" s="64" t="str">
        <f>IF(G8&gt;0,201/J7,"")</f>
        <v/>
      </c>
      <c r="AN9" s="37" t="str">
        <f t="shared" si="1"/>
        <v/>
      </c>
      <c r="AO9" s="242"/>
      <c r="AP9" s="38">
        <f ca="1">(I8/J9/J10)*AH9/1000</f>
        <v>0</v>
      </c>
      <c r="AQ9" s="38">
        <f ca="1">AH9*$J$7</f>
        <v>0</v>
      </c>
      <c r="AR9" s="39" t="str">
        <f t="shared" si="5"/>
        <v/>
      </c>
      <c r="AT9" s="31" t="str">
        <f t="shared" si="6"/>
        <v/>
      </c>
      <c r="AU9" s="54"/>
      <c r="BC9"/>
      <c r="BD9"/>
    </row>
    <row r="10" spans="1:56" ht="18" thickBot="1">
      <c r="A10" s="254"/>
      <c r="B10" s="76"/>
      <c r="C10" s="251" t="s">
        <v>1165</v>
      </c>
      <c r="D10" s="251"/>
      <c r="E10" s="251"/>
      <c r="F10" s="251"/>
      <c r="G10" s="66"/>
      <c r="H10" s="67" t="str">
        <f ca="1">IF(C7="two part box",I10,"")</f>
        <v/>
      </c>
      <c r="I10" s="230" cm="1">
        <f t="array" aca="1" ref="I10" ca="1">_xlfn.LET(
  _xlpm.code, TRIM(SUBSTITUTE(K8,"/","")),
  _xlpm.r, _xlfn.XLOOKUP(_xlpm.code,{"E","B","C","EB","BC"},{15,15,16,17,18},""),
  _xlpm.val, IF(_xlpm.r="",0,N(INDIRECT("'"&amp;B8&amp;"'!G"&amp;_xlpm.r))),
  _xlpm.val*N(J10) + IF(B7="Die cut",25,0)
)</f>
        <v>22</v>
      </c>
      <c r="J10" s="68">
        <v>1</v>
      </c>
      <c r="K10" s="252" t="s">
        <v>52</v>
      </c>
      <c r="L10" s="252"/>
      <c r="M10" s="69"/>
      <c r="N10" s="69" t="str">
        <f ca="1">IF(OR(AND(TEXO!B14=2,W7&lt;4),AND(ETERNA!H14=1,ETERNA!H17=1)),"+KLEJ RĘCZNE","")</f>
        <v/>
      </c>
      <c r="O10" s="249"/>
      <c r="P10" s="249"/>
      <c r="Q10" s="249"/>
      <c r="R10" s="58" t="s">
        <v>51</v>
      </c>
      <c r="S10" s="50">
        <f>S8+S9*2</f>
        <v>1500</v>
      </c>
      <c r="T10" s="50">
        <f>T8+T9*2</f>
        <v>1300</v>
      </c>
      <c r="U10" s="70">
        <f ca="1">IF(O8=Pakowanie!Q14,Pakowanie!K14,Pakowanie!K15)</f>
        <v>33</v>
      </c>
      <c r="V10" s="70">
        <f ca="1">IF(Pakowanie!K14=U10,Pakowanie!L14,Pakowanie!L15)</f>
        <v>28</v>
      </c>
      <c r="W10" s="247"/>
      <c r="X10" s="31" t="str">
        <f>IF(AH10&gt;0,(IF((AQ10&gt;=500),VLOOKUP($K$10,baza!$A$1:$F$352,3,0),VLOOKUP($K$10,baza!$A$1:$F$352,3,0)+0.1)),"")</f>
        <v/>
      </c>
      <c r="Y10" s="1" t="str">
        <f>IF(AH10&gt;0,(J$7*X10),"")</f>
        <v/>
      </c>
      <c r="Z10" s="253"/>
      <c r="AA10" s="253"/>
      <c r="AB10" s="253"/>
      <c r="AC10" s="253"/>
      <c r="AD10" s="71" t="s">
        <v>1165</v>
      </c>
      <c r="AE10" s="72" t="str">
        <f t="shared" si="0"/>
        <v/>
      </c>
      <c r="AF10" s="72" t="s">
        <v>1165</v>
      </c>
      <c r="AG10" s="72" t="str">
        <f t="shared" si="2"/>
        <v/>
      </c>
      <c r="AH10" s="73"/>
      <c r="AI10" s="73" t="str">
        <f>IF(AH10&gt;0,(ROUNDUP(AH10/O$9,0)*O$7),"")</f>
        <v/>
      </c>
      <c r="AJ10" s="33" t="str">
        <f t="shared" si="3"/>
        <v/>
      </c>
      <c r="AK10" s="34" t="str">
        <f t="shared" si="4"/>
        <v/>
      </c>
      <c r="AL10" s="35"/>
      <c r="AM10" s="74" t="str">
        <f>IF(G8&gt;0,501/J7,"")</f>
        <v/>
      </c>
      <c r="AN10" s="37" t="str">
        <f t="shared" si="1"/>
        <v/>
      </c>
      <c r="AO10" s="75" t="s">
        <v>43</v>
      </c>
      <c r="AP10" s="38">
        <f ca="1">(I8/J9/J10)*AH10/1000</f>
        <v>0</v>
      </c>
      <c r="AQ10" s="38">
        <f ca="1">AH10*$J$7</f>
        <v>0</v>
      </c>
      <c r="AR10" s="39" t="str">
        <f t="shared" si="5"/>
        <v/>
      </c>
      <c r="AT10" s="31" t="str">
        <f t="shared" si="6"/>
        <v/>
      </c>
      <c r="AU10" s="54"/>
      <c r="BC10"/>
      <c r="BD10"/>
    </row>
    <row r="11" spans="1:56" ht="18" thickTop="1">
      <c r="A11" s="254">
        <v>3</v>
      </c>
      <c r="B11" s="22" t="s">
        <v>35</v>
      </c>
      <c r="C11" s="235" t="str">
        <f ca="1">IF(AND(I12&gt;2855,N12&lt;&gt;"TEXO"),"two part box","")</f>
        <v/>
      </c>
      <c r="D11" s="235"/>
      <c r="E11" s="235"/>
      <c r="F11" s="235"/>
      <c r="G11" s="235"/>
      <c r="H11" s="23"/>
      <c r="I11" s="23" t="s">
        <v>36</v>
      </c>
      <c r="J11" s="236">
        <f ca="1">I12*I14/1000000/(J13*J14)</f>
        <v>3.7599999999999998E-4</v>
      </c>
      <c r="K11" s="237" t="str">
        <f ca="1">IF(AND(baza!$H4="progroup",I12&lt;700), "DOPŁATA DO TEKTURY","")</f>
        <v/>
      </c>
      <c r="L11" s="237"/>
      <c r="M11" s="24">
        <v>0</v>
      </c>
      <c r="N11" s="25" t="str">
        <f ca="1">IF(AND(ISOWA!$B23=1,W11&lt;3),"ISOWA", IF(AND(ETERNA!B23=1,W11=0),"ETERNA",""))</f>
        <v/>
      </c>
      <c r="O11" s="26">
        <f ca="1">Pakowanie!K21</f>
        <v>1</v>
      </c>
      <c r="P11" s="238" t="s">
        <v>53</v>
      </c>
      <c r="Q11" s="238"/>
      <c r="R11" s="27"/>
      <c r="S11" s="28" t="s">
        <v>38</v>
      </c>
      <c r="T11" s="29" t="s">
        <v>39</v>
      </c>
      <c r="U11" s="239" t="s">
        <v>40</v>
      </c>
      <c r="V11" s="239"/>
      <c r="W11" s="30">
        <v>0</v>
      </c>
      <c r="X11" s="31" t="str">
        <f>IF(AH11&gt;0,(IF((AQ11&gt;=500),VLOOKUP($K$14,baza!$A$1:$F$352,3,0),VLOOKUP($K$14,baza!$A$1:$F$352,3,0)+0.1)),"")</f>
        <v/>
      </c>
      <c r="Y11" s="1" t="str">
        <f>IF(AH11&gt;0,(J$11*X11),"")</f>
        <v/>
      </c>
      <c r="Z11" s="240">
        <f ca="1">J11*L12/1000</f>
        <v>1.0302399999999999E-4</v>
      </c>
      <c r="AA11" s="240"/>
      <c r="AB11" s="241" t="s">
        <v>41</v>
      </c>
      <c r="AC11" s="241"/>
      <c r="AD11" s="31" t="s">
        <v>1165</v>
      </c>
      <c r="AE11" s="31" t="str">
        <f t="shared" si="0"/>
        <v/>
      </c>
      <c r="AF11" s="31" t="s">
        <v>1165</v>
      </c>
      <c r="AG11" s="31" t="str">
        <f t="shared" si="2"/>
        <v/>
      </c>
      <c r="AH11" s="32"/>
      <c r="AI11" s="32" t="str">
        <f>IF(AH11&gt;0,(ROUNDUP(AH11/O$13,0)*O$11),"")</f>
        <v/>
      </c>
      <c r="AJ11" s="33" t="str">
        <f t="shared" si="3"/>
        <v/>
      </c>
      <c r="AK11" s="34" t="str">
        <f t="shared" si="4"/>
        <v/>
      </c>
      <c r="AL11" s="35"/>
      <c r="AM11" s="36" t="str">
        <f>IF(G12&gt;0,(301*J13*1000/I12),"")</f>
        <v/>
      </c>
      <c r="AN11" s="37" t="str">
        <f t="shared" si="1"/>
        <v/>
      </c>
      <c r="AO11" s="242"/>
      <c r="AP11" s="38">
        <f ca="1">(I12/J13/J14)*AH11/1000</f>
        <v>0</v>
      </c>
      <c r="AQ11" s="38">
        <f ca="1">AH11*$J$11</f>
        <v>0</v>
      </c>
      <c r="AR11" s="39" t="str">
        <f t="shared" si="5"/>
        <v/>
      </c>
      <c r="AT11" s="31" t="str">
        <f t="shared" si="6"/>
        <v/>
      </c>
      <c r="AU11" s="54"/>
      <c r="BC11"/>
      <c r="BD11"/>
    </row>
    <row r="12" spans="1:56" ht="17.7" customHeight="1">
      <c r="A12" s="254"/>
      <c r="B12" s="243" t="s">
        <v>42</v>
      </c>
      <c r="C12" s="244"/>
      <c r="D12" s="244"/>
      <c r="E12" s="245"/>
      <c r="F12" s="245"/>
      <c r="G12" s="246"/>
      <c r="H12" s="41" t="str">
        <f ca="1">IF(C11="two part box",IF((K12="C"),INDIRECT(B12&amp;".F34"),IF((K12="EB"),INDIRECT(B12&amp;".F35"),IF((K12="BC"),INDIRECT(B12&amp;".F36"),INDIRECT(B12&amp;".F33")))),"")</f>
        <v/>
      </c>
      <c r="I12" s="230" cm="1">
        <f t="array" aca="1" ref="I12" ca="1">_xlfn.LET(
  _xlpm.code, TRIM(SUBSTITUTE(K12,"/","")),
  _xlpm.r, _xlfn.XLOOKUP(_xlpm.code, {"E","B","C","EB","BC"}, {27,27,28,29,30}, ""),
  _xlpm.val, IF(_xlpm.r="",0,N(INDIRECT("'"&amp;B12&amp;"'!F"&amp;_xlpm.r))),
  _xlpm.val*N(J13) + IF(B11="Die cut",25,0)
)</f>
        <v>47</v>
      </c>
      <c r="J12" s="236"/>
      <c r="K12" s="42" t="str">
        <f>VLOOKUP(K14,baza!$A$1:$F$353,6,0)</f>
        <v>B</v>
      </c>
      <c r="L12" s="43">
        <f>VLOOKUP(K14,baza!$A$1:$F$353,5,0)</f>
        <v>274</v>
      </c>
      <c r="M12" s="44" t="s">
        <v>43</v>
      </c>
      <c r="N12" s="45" t="str">
        <f ca="1">IF(AND(N11&lt;&gt;"ISOWA",N11&lt;&gt;"ETERNA"),IF(AND(TEXO!B23=1,W11&lt;4),"TEXO",IF(AND(TEXO!B23=1,W11&lt;4),"TEXO+KLEJ","")),"")</f>
        <v/>
      </c>
      <c r="O12" s="46">
        <f>Pakowanie!H21</f>
        <v>0</v>
      </c>
      <c r="P12" s="47">
        <f>Pakowanie!I21</f>
        <v>0</v>
      </c>
      <c r="Q12" s="48">
        <v>2100</v>
      </c>
      <c r="R12" s="49"/>
      <c r="S12" s="50">
        <f>IF(OR(P11="EURO",   P11="industrial 1200x800",    P11="industrial 1200x1000"),1200,    IF(P11="special 1600x1200",1600,    IF(P11="special 2400x1200",2400,   IF(P11="special 2000x1800",2000,    " "))))</f>
        <v>1200</v>
      </c>
      <c r="T12" s="51">
        <f>IF(OR(P11="EURO",P11="industrial 1200x800"),800,    IF(P11="industrial 1200x1000",1000,     IF(OR(P11="special 1600x1200",P11="special 2400x1200"),1200,   IF(P11="special 2000x1800",1800,  " "))))</f>
        <v>800</v>
      </c>
      <c r="U12" s="59">
        <f ca="1">Pakowanie!C21</f>
        <v>20</v>
      </c>
      <c r="V12" s="59">
        <f ca="1">Pakowanie!D21</f>
        <v>20</v>
      </c>
      <c r="W12" s="247" t="s">
        <v>43</v>
      </c>
      <c r="X12" s="31" t="str">
        <f>IF(AH12&gt;0,(IF((AQ12&gt;=500),VLOOKUP($K$14,baza!$A$1:$F$352,3,0),VLOOKUP($K$14,baza!$A$1:$F$352,3,0)+0.1)),"")</f>
        <v/>
      </c>
      <c r="Y12" s="1" t="str">
        <f>IF(AH12&gt;0,(J$11*X12),"")</f>
        <v/>
      </c>
      <c r="Z12" s="240"/>
      <c r="AA12" s="240"/>
      <c r="AB12" s="241"/>
      <c r="AC12" s="241"/>
      <c r="AD12" s="31" t="s">
        <v>1165</v>
      </c>
      <c r="AE12" s="31" t="str">
        <f t="shared" si="0"/>
        <v/>
      </c>
      <c r="AF12" s="31" t="s">
        <v>1165</v>
      </c>
      <c r="AG12" s="31" t="str">
        <f t="shared" si="2"/>
        <v/>
      </c>
      <c r="AH12" s="32"/>
      <c r="AI12" s="32" t="str">
        <f>IF(AH12&gt;0,(ROUNDUP(AH12/O$13,0)*O$11),"")</f>
        <v/>
      </c>
      <c r="AJ12" s="33" t="str">
        <f t="shared" si="3"/>
        <v/>
      </c>
      <c r="AK12" s="34" t="str">
        <f t="shared" si="4"/>
        <v/>
      </c>
      <c r="AL12" s="35"/>
      <c r="AM12" s="53" t="str">
        <f>IF(G12&gt;0,(501*J13*1000/I12),"")</f>
        <v/>
      </c>
      <c r="AN12" s="37" t="str">
        <f t="shared" si="1"/>
        <v/>
      </c>
      <c r="AO12" s="242"/>
      <c r="AP12" s="38">
        <f ca="1">(I12/J13/J14)*AH12/1000</f>
        <v>0</v>
      </c>
      <c r="AQ12" s="38">
        <f ca="1">AH12*$J$11</f>
        <v>0</v>
      </c>
      <c r="AR12" s="39" t="str">
        <f t="shared" si="5"/>
        <v/>
      </c>
      <c r="AT12" s="31" t="str">
        <f t="shared" si="6"/>
        <v/>
      </c>
      <c r="AU12" s="54"/>
      <c r="AY12" s="55" t="str">
        <f>IF(E12&gt;0,CONCATENATE("_",C12,IF(C12&gt;0,"x",""),E12,"x",G12),"")</f>
        <v/>
      </c>
      <c r="BC12"/>
      <c r="BD12"/>
    </row>
    <row r="13" spans="1:56" ht="17.399999999999999">
      <c r="A13" s="254"/>
      <c r="B13" s="243"/>
      <c r="C13" s="244"/>
      <c r="D13" s="244"/>
      <c r="E13" s="245"/>
      <c r="F13" s="245"/>
      <c r="G13" s="246"/>
      <c r="H13" s="56"/>
      <c r="I13" s="23" t="s">
        <v>44</v>
      </c>
      <c r="J13" s="57">
        <v>1</v>
      </c>
      <c r="K13" s="248" t="str">
        <f>VLOOKUP(K14,baza!$A$1:$F$353,4,0)</f>
        <v>SCHR80/SCHR80/SCHR80</v>
      </c>
      <c r="L13" s="248"/>
      <c r="M13" s="45" t="s">
        <v>43</v>
      </c>
      <c r="N13" s="45" t="str">
        <f ca="1">IF(AND(N11&lt;&gt;"ISOWA",N11&lt;&gt;"ETERNA",N12&lt;&gt;"TEXO",N12&lt;&gt;"TEXO+KLEJ"),IF(AND(KYS!$B20=1,KYS!$C23=1),"KYS",""),"")</f>
        <v/>
      </c>
      <c r="O13" s="249">
        <f>Pakowanie!L21</f>
        <v>0</v>
      </c>
      <c r="P13" s="249"/>
      <c r="Q13" s="249"/>
      <c r="R13" s="58" t="s">
        <v>45</v>
      </c>
      <c r="S13" s="27">
        <v>150</v>
      </c>
      <c r="T13" s="27">
        <v>150</v>
      </c>
      <c r="U13" s="250" t="s">
        <v>46</v>
      </c>
      <c r="V13" s="250"/>
      <c r="W13" s="247"/>
      <c r="X13" s="31" t="str">
        <f>IF(AH13&gt;0,(IF((AQ13&gt;=500),VLOOKUP($K$14,baza!$A$1:$F$352,3,0),VLOOKUP($K$14,baza!$A$1:$F$352,3,0)+0.1)),"")</f>
        <v/>
      </c>
      <c r="Y13" s="1" t="str">
        <f>IF(AH13&gt;0,(J$11*X13),"")</f>
        <v/>
      </c>
      <c r="Z13" s="60">
        <f>AH11</f>
        <v>0</v>
      </c>
      <c r="AA13" s="61" t="s">
        <v>47</v>
      </c>
      <c r="AB13" s="62">
        <f ca="1">AH11*Z11</f>
        <v>0</v>
      </c>
      <c r="AC13" s="63" t="s">
        <v>48</v>
      </c>
      <c r="AD13" s="31" t="s">
        <v>1165</v>
      </c>
      <c r="AE13" s="31" t="str">
        <f t="shared" si="0"/>
        <v/>
      </c>
      <c r="AF13" s="31" t="s">
        <v>1165</v>
      </c>
      <c r="AG13" s="31" t="str">
        <f t="shared" si="2"/>
        <v/>
      </c>
      <c r="AH13" s="32"/>
      <c r="AI13" s="32" t="str">
        <f>IF(AH13&gt;0,(ROUNDUP(AH13/O$13,0)*O$11),"")</f>
        <v/>
      </c>
      <c r="AJ13" s="33" t="str">
        <f t="shared" si="3"/>
        <v/>
      </c>
      <c r="AK13" s="34" t="str">
        <f t="shared" si="4"/>
        <v/>
      </c>
      <c r="AL13" s="35"/>
      <c r="AM13" s="64" t="str">
        <f>IF(G12&gt;0,201/J11,"")</f>
        <v/>
      </c>
      <c r="AN13" s="37" t="str">
        <f t="shared" si="1"/>
        <v/>
      </c>
      <c r="AO13" s="242"/>
      <c r="AP13" s="38">
        <f ca="1">(I12/J13/J14)*AH13/1000</f>
        <v>0</v>
      </c>
      <c r="AQ13" s="38">
        <f ca="1">AH13*$J$11</f>
        <v>0</v>
      </c>
      <c r="AR13" s="39" t="str">
        <f t="shared" si="5"/>
        <v/>
      </c>
      <c r="AT13" s="31" t="str">
        <f t="shared" si="6"/>
        <v/>
      </c>
      <c r="AU13" s="54"/>
      <c r="BC13"/>
      <c r="BD13"/>
    </row>
    <row r="14" spans="1:56" ht="18" thickBot="1">
      <c r="A14" s="254"/>
      <c r="B14" s="76"/>
      <c r="C14" s="251" t="s">
        <v>1165</v>
      </c>
      <c r="D14" s="251"/>
      <c r="E14" s="251"/>
      <c r="F14" s="251"/>
      <c r="G14" s="66"/>
      <c r="H14" s="67" t="str">
        <f ca="1">IF(C11="two part box",I14,"")</f>
        <v/>
      </c>
      <c r="I14" s="230" cm="1">
        <f t="array" aca="1" ref="I14" ca="1">_xlfn.LET(
  _xlpm.code, TRIM(SUBSTITUTE(K12,"/","")),
  _xlpm.r, _xlfn.XLOOKUP(_xlpm.code,{"E","B","C","EB","BC"},{27,27,28,29,30},""),
  _xlpm.val, IF(_xlpm.r="",0,N(INDIRECT("'"&amp;B12&amp;"'!G"&amp;_xlpm.r))),
  _xlpm.val*N(J14) + IF(B11="Die cut",25,0)
)</f>
        <v>8</v>
      </c>
      <c r="J14" s="68">
        <v>1</v>
      </c>
      <c r="K14" s="252" t="s">
        <v>54</v>
      </c>
      <c r="L14" s="252"/>
      <c r="M14" s="69"/>
      <c r="N14" s="69" t="str">
        <f ca="1">IF(OR(AND(TEXO!B23=2,W11&lt;4),AND(ETERNA!H23=1,ETERNA!H26=1)),"+KLEJ RĘCZNE","")</f>
        <v/>
      </c>
      <c r="O14" s="249"/>
      <c r="P14" s="249"/>
      <c r="Q14" s="249"/>
      <c r="R14" s="58" t="s">
        <v>51</v>
      </c>
      <c r="S14" s="50">
        <f>S12+S13*2</f>
        <v>1500</v>
      </c>
      <c r="T14" s="50">
        <f>T12+T13*2</f>
        <v>1100</v>
      </c>
      <c r="U14" s="70">
        <f ca="1">IF(O12=Pakowanie!Q23,Pakowanie!K23,Pakowanie!K24)</f>
        <v>75</v>
      </c>
      <c r="V14" s="70">
        <f ca="1">IF(Pakowanie!K23=U14,Pakowanie!L23,Pakowanie!L24)</f>
        <v>55</v>
      </c>
      <c r="W14" s="247"/>
      <c r="X14" s="31" t="str">
        <f>IF(AH14&gt;0,(IF((AQ14&gt;=500),VLOOKUP($K$14,baza!$A$1:$F$352,3,0),VLOOKUP($K$14,baza!$A$1:$F$352,3,0)+0.1)),"")</f>
        <v/>
      </c>
      <c r="Y14" s="1" t="str">
        <f>IF(AH14&gt;0,(J$11*X14),"")</f>
        <v/>
      </c>
      <c r="Z14" s="253"/>
      <c r="AA14" s="253"/>
      <c r="AB14" s="253"/>
      <c r="AC14" s="253"/>
      <c r="AD14" s="71" t="s">
        <v>1165</v>
      </c>
      <c r="AE14" s="72" t="str">
        <f t="shared" si="0"/>
        <v/>
      </c>
      <c r="AF14" s="72" t="s">
        <v>1165</v>
      </c>
      <c r="AG14" s="72" t="str">
        <f t="shared" si="2"/>
        <v/>
      </c>
      <c r="AH14" s="73"/>
      <c r="AI14" s="73" t="str">
        <f>IF(AH14&gt;0,(ROUNDUP(AH14/O$13,0)*O$11),"")</f>
        <v/>
      </c>
      <c r="AJ14" s="33" t="str">
        <f t="shared" si="3"/>
        <v/>
      </c>
      <c r="AK14" s="34" t="str">
        <f t="shared" si="4"/>
        <v/>
      </c>
      <c r="AL14" s="35"/>
      <c r="AM14" s="74" t="str">
        <f>IF(G12&gt;0,501/J11,"")</f>
        <v/>
      </c>
      <c r="AN14" s="37" t="str">
        <f t="shared" si="1"/>
        <v/>
      </c>
      <c r="AO14" s="75" t="s">
        <v>43</v>
      </c>
      <c r="AP14" s="38">
        <f ca="1">(I12/J13/J14)*AH14/1000</f>
        <v>0</v>
      </c>
      <c r="AQ14" s="38">
        <f ca="1">AH14*$J$11</f>
        <v>0</v>
      </c>
      <c r="AR14" s="39" t="str">
        <f t="shared" si="5"/>
        <v/>
      </c>
      <c r="AT14" s="31" t="str">
        <f t="shared" si="6"/>
        <v/>
      </c>
      <c r="AU14" s="54"/>
      <c r="BC14"/>
      <c r="BD14"/>
    </row>
    <row r="15" spans="1:56" ht="18" thickTop="1">
      <c r="A15" s="254">
        <v>4</v>
      </c>
      <c r="B15" s="22" t="s">
        <v>35</v>
      </c>
      <c r="C15" s="235" t="str">
        <f ca="1">IF(AND(I16&gt;2855,N16&lt;&gt;"TEXO"),"two part box","")</f>
        <v/>
      </c>
      <c r="D15" s="235"/>
      <c r="E15" s="235"/>
      <c r="F15" s="235"/>
      <c r="G15" s="235"/>
      <c r="H15" s="23"/>
      <c r="I15" s="23" t="s">
        <v>36</v>
      </c>
      <c r="J15" s="236">
        <f ca="1">I16*I18/1000000/(J17*J18)</f>
        <v>3.7599999999999998E-4</v>
      </c>
      <c r="K15" s="237" t="str">
        <f ca="1">IF(AND(baza!$H5="progroup",I16&lt;700), "DOPŁATA DO TEKTURY","")</f>
        <v/>
      </c>
      <c r="L15" s="237"/>
      <c r="M15" s="24">
        <v>0</v>
      </c>
      <c r="N15" s="25" t="str">
        <f ca="1">IF(AND(ISOWA!$B32=1,W15&lt;3),"ISOWA", IF(AND(ETERNA!B32=1,W15=0),"ETERNA",""))</f>
        <v/>
      </c>
      <c r="O15" s="26">
        <f ca="1">Pakowanie!K30</f>
        <v>1</v>
      </c>
      <c r="P15" s="238" t="s">
        <v>53</v>
      </c>
      <c r="Q15" s="238"/>
      <c r="R15" s="27"/>
      <c r="S15" s="28" t="s">
        <v>38</v>
      </c>
      <c r="T15" s="29" t="s">
        <v>39</v>
      </c>
      <c r="U15" s="239" t="s">
        <v>40</v>
      </c>
      <c r="V15" s="239"/>
      <c r="W15" s="30">
        <v>0</v>
      </c>
      <c r="X15" s="31" t="str">
        <f>IF(AH15&gt;0,(IF((AQ15&gt;=500),VLOOKUP($K$18,baza!$A$1:$F$352,3,0),VLOOKUP($K$18,baza!$A$1:$F$352,3,0)+0.1)),"")</f>
        <v/>
      </c>
      <c r="Y15" s="1" t="str">
        <f>IF(AH15&gt;0,(J$15*X15),"")</f>
        <v/>
      </c>
      <c r="Z15" s="240">
        <f ca="1">J15*L16/1000</f>
        <v>1.0302399999999999E-4</v>
      </c>
      <c r="AA15" s="240"/>
      <c r="AB15" s="241" t="s">
        <v>41</v>
      </c>
      <c r="AC15" s="241"/>
      <c r="AD15" s="31" t="s">
        <v>1165</v>
      </c>
      <c r="AE15" s="31" t="str">
        <f t="shared" si="0"/>
        <v/>
      </c>
      <c r="AF15" s="31" t="s">
        <v>1165</v>
      </c>
      <c r="AG15" s="31" t="str">
        <f t="shared" si="2"/>
        <v/>
      </c>
      <c r="AH15" s="32"/>
      <c r="AI15" s="32" t="str">
        <f>IF(AH15&gt;0,(ROUNDUP(AH15/O$17,0)*O$15),"")</f>
        <v/>
      </c>
      <c r="AJ15" s="33" t="str">
        <f t="shared" si="3"/>
        <v/>
      </c>
      <c r="AK15" s="34" t="str">
        <f t="shared" si="4"/>
        <v/>
      </c>
      <c r="AL15" s="35"/>
      <c r="AM15" s="36" t="str">
        <f>IF(G16&gt;0,(301*J17*1000/I16),"")</f>
        <v/>
      </c>
      <c r="AN15" s="37" t="str">
        <f t="shared" si="1"/>
        <v/>
      </c>
      <c r="AO15" s="242"/>
      <c r="AP15" s="38">
        <f ca="1">(I16/J17/J18)*AH15/1000</f>
        <v>0</v>
      </c>
      <c r="AQ15" s="38">
        <f ca="1">AH15*$J$15</f>
        <v>0</v>
      </c>
      <c r="AR15" s="39" t="str">
        <f t="shared" si="5"/>
        <v/>
      </c>
      <c r="AT15" s="31" t="str">
        <f t="shared" si="6"/>
        <v/>
      </c>
      <c r="AU15" s="54"/>
      <c r="BC15"/>
      <c r="BD15"/>
    </row>
    <row r="16" spans="1:56" ht="17.7" customHeight="1">
      <c r="A16" s="254"/>
      <c r="B16" s="243" t="s">
        <v>42</v>
      </c>
      <c r="C16" s="244"/>
      <c r="D16" s="244"/>
      <c r="E16" s="245"/>
      <c r="F16" s="245"/>
      <c r="G16" s="246"/>
      <c r="H16" s="41" t="str">
        <f ca="1">IF(C15="two part box",IF((K16="C"),INDIRECT(B16&amp;".F46"),IF((K16="EB"),INDIRECT(B16&amp;".F47"),IF((K16="BC"),INDIRECT(B16&amp;".F48"),INDIRECT(B16&amp;".F45")))),"")</f>
        <v/>
      </c>
      <c r="I16" s="230" cm="1">
        <f t="array" aca="1" ref="I16" ca="1">_xlfn.LET(
  _xlpm.code, TRIM(SUBSTITUTE(K16,"/","")),
  _xlpm.r, _xlfn.XLOOKUP(_xlpm.code, {"E","B","C","EB","BC"}, {39,39,40,41,42}, ""),
  _xlpm.val, IF(_xlpm.r="",0,N(INDIRECT("'"&amp;B16&amp;"'!F"&amp;_xlpm.r))),
  _xlpm.val*N(J17) + IF(B15="Die cut",25,0)
)</f>
        <v>47</v>
      </c>
      <c r="J16" s="236"/>
      <c r="K16" s="42" t="str">
        <f>VLOOKUP(K18,baza!$A$1:$F$353,6,0)</f>
        <v>B</v>
      </c>
      <c r="L16" s="43">
        <f>VLOOKUP(K18,baza!$A$1:$F$353,5,0)</f>
        <v>274</v>
      </c>
      <c r="M16" s="44" t="s">
        <v>43</v>
      </c>
      <c r="N16" s="45" t="str">
        <f ca="1">IF(AND(N15&lt;&gt;"ISOWA",N15&lt;&gt;"ETERNA"),IF(AND(TEXO!B32=1,W15&lt;4),"TEXO",IF(AND(TEXO!B32=1,W15&lt;4),"TEXO+KLEJ","")),"")</f>
        <v/>
      </c>
      <c r="O16" s="46">
        <f>Pakowanie!H30</f>
        <v>0</v>
      </c>
      <c r="P16" s="47">
        <f>Pakowanie!I30</f>
        <v>0</v>
      </c>
      <c r="Q16" s="48">
        <v>2100</v>
      </c>
      <c r="R16" s="49"/>
      <c r="S16" s="50">
        <f>IF(OR(P15="EURO",   P15="industrial 1200x800",    P15="industrial 1200x1000"),1200,    IF(P15="special 1600x1200",1600,    IF(P15="special 2400x1200",2400,   IF(P15="special 2000x1800",2000,    " "))))</f>
        <v>1200</v>
      </c>
      <c r="T16" s="51">
        <f>IF(OR(P15="EURO",P15="industrial 1200x800"),800,    IF(P15="industrial 1200x1000",1000,     IF(OR(P15="special 1600x1200",P15="special 2400x1200"),1200,   IF(P15="special 2000x1800",1800,  " "))))</f>
        <v>800</v>
      </c>
      <c r="U16" s="59">
        <f ca="1">Pakowanie!C30</f>
        <v>20</v>
      </c>
      <c r="V16" s="59">
        <f ca="1">Pakowanie!D30</f>
        <v>20</v>
      </c>
      <c r="W16" s="247" t="s">
        <v>43</v>
      </c>
      <c r="X16" s="31" t="str">
        <f>IF(AH16&gt;0,(IF((AQ16&gt;=500),VLOOKUP($K$18,baza!$A$1:$F$352,3,0),VLOOKUP($K$18,baza!$A$1:$F$352,3,0)+0.1)),"")</f>
        <v/>
      </c>
      <c r="Y16" s="1" t="str">
        <f>IF(AH16&gt;0,(J$15*X16),"")</f>
        <v/>
      </c>
      <c r="Z16" s="240"/>
      <c r="AA16" s="240"/>
      <c r="AB16" s="241"/>
      <c r="AC16" s="241"/>
      <c r="AD16" s="31" t="s">
        <v>1165</v>
      </c>
      <c r="AE16" s="31" t="str">
        <f t="shared" si="0"/>
        <v/>
      </c>
      <c r="AF16" s="31" t="s">
        <v>1165</v>
      </c>
      <c r="AG16" s="31" t="str">
        <f t="shared" si="2"/>
        <v/>
      </c>
      <c r="AH16" s="32"/>
      <c r="AI16" s="32" t="str">
        <f>IF(AH16&gt;0,(ROUNDUP(AH16/O$17,0)*O$15),"")</f>
        <v/>
      </c>
      <c r="AJ16" s="33" t="str">
        <f t="shared" si="3"/>
        <v/>
      </c>
      <c r="AK16" s="34" t="str">
        <f t="shared" si="4"/>
        <v/>
      </c>
      <c r="AL16" s="35"/>
      <c r="AM16" s="53" t="str">
        <f>IF(G16&gt;0,(501*J17*1000/I16),"")</f>
        <v/>
      </c>
      <c r="AN16" s="37" t="str">
        <f t="shared" si="1"/>
        <v/>
      </c>
      <c r="AO16" s="242"/>
      <c r="AP16" s="38">
        <f ca="1">(I16/J17/J18)*AH16/1000</f>
        <v>0</v>
      </c>
      <c r="AQ16" s="38">
        <f ca="1">AH16*$J$15</f>
        <v>0</v>
      </c>
      <c r="AR16" s="39" t="str">
        <f t="shared" si="5"/>
        <v/>
      </c>
      <c r="AT16" s="31" t="str">
        <f t="shared" si="6"/>
        <v/>
      </c>
      <c r="AU16" s="54"/>
      <c r="AY16" s="55" t="str">
        <f>IF(E16&gt;0,CONCATENATE("_",C16,IF(C16&gt;0,"x",""),E16,"x",G16),"")</f>
        <v/>
      </c>
      <c r="BC16"/>
      <c r="BD16"/>
    </row>
    <row r="17" spans="1:56" ht="17.399999999999999">
      <c r="A17" s="254"/>
      <c r="B17" s="243"/>
      <c r="C17" s="244"/>
      <c r="D17" s="244"/>
      <c r="E17" s="245"/>
      <c r="F17" s="245"/>
      <c r="G17" s="246"/>
      <c r="H17" s="56"/>
      <c r="I17" s="23" t="s">
        <v>44</v>
      </c>
      <c r="J17" s="57">
        <v>1</v>
      </c>
      <c r="K17" s="248" t="str">
        <f>VLOOKUP(K18,baza!$A$1:$F$353,4,0)</f>
        <v>SCHR80/SCHR80/SCHR80</v>
      </c>
      <c r="L17" s="248"/>
      <c r="M17" s="45" t="s">
        <v>43</v>
      </c>
      <c r="N17" s="45" t="str">
        <f ca="1">IF(AND(N15&lt;&gt;"ISOWA",N15&lt;&gt;"ETERNA",N16&lt;&gt;"TEXO",N16&lt;&gt;"TEXO+KLEJ"),IF(AND(KYS!$B28=1,KYS!$C31=1),"KYS",""),"")</f>
        <v/>
      </c>
      <c r="O17" s="249">
        <f>Pakowanie!L30</f>
        <v>0</v>
      </c>
      <c r="P17" s="249"/>
      <c r="Q17" s="249"/>
      <c r="R17" s="58" t="s">
        <v>45</v>
      </c>
      <c r="S17" s="27">
        <v>20</v>
      </c>
      <c r="T17" s="27">
        <v>50</v>
      </c>
      <c r="U17" s="250" t="s">
        <v>46</v>
      </c>
      <c r="V17" s="250"/>
      <c r="W17" s="247"/>
      <c r="X17" s="31" t="str">
        <f>IF(AH17&gt;0,(IF((AQ17&gt;=500),VLOOKUP($K$18,baza!$A$1:$F$352,3,0),VLOOKUP($K$18,baza!$A$1:$F$352,3,0)+0.1)),"")</f>
        <v/>
      </c>
      <c r="Y17" s="1" t="str">
        <f>IF(AH17&gt;0,(J$15*X17),"")</f>
        <v/>
      </c>
      <c r="Z17" s="60">
        <f>AH15</f>
        <v>0</v>
      </c>
      <c r="AA17" s="61" t="s">
        <v>47</v>
      </c>
      <c r="AB17" s="62">
        <f ca="1">AH15*Z15</f>
        <v>0</v>
      </c>
      <c r="AC17" s="63" t="s">
        <v>48</v>
      </c>
      <c r="AD17" s="31" t="s">
        <v>1165</v>
      </c>
      <c r="AE17" s="31" t="str">
        <f t="shared" si="0"/>
        <v/>
      </c>
      <c r="AF17" s="31" t="s">
        <v>1165</v>
      </c>
      <c r="AG17" s="31" t="str">
        <f t="shared" si="2"/>
        <v/>
      </c>
      <c r="AH17" s="32"/>
      <c r="AI17" s="32" t="str">
        <f>IF(AH17&gt;0,(ROUNDUP(AH17/O$17,0)*O$15),"")</f>
        <v/>
      </c>
      <c r="AJ17" s="33" t="str">
        <f t="shared" si="3"/>
        <v/>
      </c>
      <c r="AK17" s="34" t="str">
        <f t="shared" si="4"/>
        <v/>
      </c>
      <c r="AL17" s="35"/>
      <c r="AM17" s="64" t="str">
        <f>IF(G16&gt;0,201/J15,"")</f>
        <v/>
      </c>
      <c r="AN17" s="37" t="str">
        <f t="shared" si="1"/>
        <v/>
      </c>
      <c r="AO17" s="242"/>
      <c r="AP17" s="38">
        <f ca="1">(I16/J17/J18)*AH17/1000</f>
        <v>0</v>
      </c>
      <c r="AQ17" s="38">
        <f ca="1">AH17*$J$15</f>
        <v>0</v>
      </c>
      <c r="AR17" s="39" t="str">
        <f t="shared" si="5"/>
        <v/>
      </c>
      <c r="AT17" s="31" t="str">
        <f t="shared" si="6"/>
        <v/>
      </c>
      <c r="AU17" s="54"/>
      <c r="BC17"/>
      <c r="BD17"/>
    </row>
    <row r="18" spans="1:56" ht="18" thickBot="1">
      <c r="A18" s="254"/>
      <c r="B18" s="76"/>
      <c r="C18" s="251" t="s">
        <v>1165</v>
      </c>
      <c r="D18" s="251"/>
      <c r="E18" s="251"/>
      <c r="F18" s="251"/>
      <c r="G18" s="66"/>
      <c r="H18" s="67" t="str">
        <f ca="1">IF(C15="two part box",I18,"")</f>
        <v/>
      </c>
      <c r="I18" s="230" cm="1">
        <f t="array" aca="1" ref="I18" ca="1">_xlfn.LET(
  _xlpm.code, TRIM(SUBSTITUTE(K16,"/","")),
  _xlpm.r, _xlfn.XLOOKUP(_xlpm.code,{"E","B","C","EB","BC"},{39,39,40,41,42},""),
  _xlpm.val, IF(_xlpm.r="",0,N(INDIRECT("'"&amp;B16&amp;"'!G"&amp;_xlpm.r))),
  _xlpm.val*N(J18) + IF(B15="Die cut",25,0)
)</f>
        <v>8</v>
      </c>
      <c r="J18" s="68">
        <v>1</v>
      </c>
      <c r="K18" s="252" t="s">
        <v>54</v>
      </c>
      <c r="L18" s="252"/>
      <c r="M18" s="69"/>
      <c r="N18" s="69" t="str">
        <f ca="1">IF(OR(AND(TEXO!B32=2,W15&lt;4),AND(ETERNA!H32=1,ETERNA!H35=1)),"+KLEJ RĘCZNE","")</f>
        <v/>
      </c>
      <c r="O18" s="249"/>
      <c r="P18" s="249"/>
      <c r="Q18" s="249"/>
      <c r="R18" s="58" t="s">
        <v>51</v>
      </c>
      <c r="S18" s="50">
        <f>S16+S17*2</f>
        <v>1240</v>
      </c>
      <c r="T18" s="50">
        <f>T16+T17*2</f>
        <v>900</v>
      </c>
      <c r="U18" s="70">
        <f ca="1">IF(O16=Pakowanie!Q32,Pakowanie!K32,Pakowanie!K33)</f>
        <v>62</v>
      </c>
      <c r="V18" s="70">
        <f ca="1">IF(Pakowanie!K32=U18,Pakowanie!L32,Pakowanie!L33)</f>
        <v>45</v>
      </c>
      <c r="W18" s="247"/>
      <c r="X18" s="31" t="str">
        <f>IF(AH18&gt;0,(IF((AQ18&gt;=500),VLOOKUP($K$18,baza!$A$1:$F$352,3,0),VLOOKUP($K$18,baza!$A$1:$F$352,3,0)+0.1)),"")</f>
        <v/>
      </c>
      <c r="Y18" s="1" t="str">
        <f>IF(AH18&gt;0,(J$15*X18),"")</f>
        <v/>
      </c>
      <c r="Z18" s="253"/>
      <c r="AA18" s="253"/>
      <c r="AB18" s="253"/>
      <c r="AC18" s="253"/>
      <c r="AD18" s="71" t="s">
        <v>1165</v>
      </c>
      <c r="AE18" s="72" t="str">
        <f t="shared" si="0"/>
        <v/>
      </c>
      <c r="AF18" s="72" t="s">
        <v>1165</v>
      </c>
      <c r="AG18" s="72" t="str">
        <f t="shared" si="2"/>
        <v/>
      </c>
      <c r="AH18" s="73"/>
      <c r="AI18" s="73" t="str">
        <f>IF(AH18&gt;0,(ROUNDUP(AH18/O$17,0)*O$15),"")</f>
        <v/>
      </c>
      <c r="AJ18" s="33" t="str">
        <f t="shared" si="3"/>
        <v/>
      </c>
      <c r="AK18" s="34" t="str">
        <f t="shared" si="4"/>
        <v/>
      </c>
      <c r="AL18" s="35"/>
      <c r="AM18" s="74" t="str">
        <f>IF(G16&gt;0,501/J15,"")</f>
        <v/>
      </c>
      <c r="AN18" s="37" t="str">
        <f t="shared" si="1"/>
        <v/>
      </c>
      <c r="AO18" s="75" t="s">
        <v>43</v>
      </c>
      <c r="AP18" s="38">
        <f ca="1">(I16/J17/J18)*AH18/1000</f>
        <v>0</v>
      </c>
      <c r="AQ18" s="38">
        <f ca="1">AH18*$J$15</f>
        <v>0</v>
      </c>
      <c r="AR18" s="39" t="str">
        <f t="shared" si="5"/>
        <v/>
      </c>
      <c r="AT18" s="31" t="str">
        <f t="shared" si="6"/>
        <v/>
      </c>
      <c r="AU18" s="54"/>
      <c r="BC18"/>
      <c r="BD18"/>
    </row>
    <row r="19" spans="1:56" ht="18" thickTop="1">
      <c r="A19" s="254">
        <v>5</v>
      </c>
      <c r="B19" s="22" t="s">
        <v>35</v>
      </c>
      <c r="C19" s="235" t="str">
        <f ca="1">IF(AND(I20&gt;2855,N20&lt;&gt;"TEXO"),"two part box","")</f>
        <v/>
      </c>
      <c r="D19" s="235"/>
      <c r="E19" s="235"/>
      <c r="F19" s="235"/>
      <c r="G19" s="235"/>
      <c r="H19" s="23"/>
      <c r="I19" s="23" t="s">
        <v>36</v>
      </c>
      <c r="J19" s="236">
        <f ca="1">I20*I22/1000000/(J21*J22)</f>
        <v>3.7599999999999998E-4</v>
      </c>
      <c r="K19" s="237" t="str">
        <f ca="1">IF(AND(baza!$H6="progroup",I20&lt;700), "DOPŁATA DO TEKTURY","")</f>
        <v/>
      </c>
      <c r="L19" s="237"/>
      <c r="M19" s="24">
        <v>0</v>
      </c>
      <c r="N19" s="25" t="str">
        <f ca="1">IF(AND(ISOWA!$B41=1,W19&lt;3),"ISOWA", IF(AND(ETERNA!B41=1,W19=0),"ETERNA",""))</f>
        <v/>
      </c>
      <c r="O19" s="26">
        <f ca="1">Pakowanie!K39</f>
        <v>1</v>
      </c>
      <c r="P19" s="238" t="s">
        <v>53</v>
      </c>
      <c r="Q19" s="238"/>
      <c r="R19" s="27"/>
      <c r="S19" s="28" t="s">
        <v>38</v>
      </c>
      <c r="T19" s="29" t="s">
        <v>39</v>
      </c>
      <c r="U19" s="239" t="s">
        <v>40</v>
      </c>
      <c r="V19" s="239"/>
      <c r="W19" s="30">
        <v>0</v>
      </c>
      <c r="X19" s="31" t="str">
        <f>IF(AH19&gt;0,(IF((AQ19&gt;=500),VLOOKUP($K$22,baza!$A$1:$F$352,3,0),VLOOKUP($K$22,baza!$A$1:$F$352,3,0)+0.1)),"")</f>
        <v/>
      </c>
      <c r="Y19" s="1" t="str">
        <f>IF(AH19&gt;0,(J$19*X19),"")</f>
        <v/>
      </c>
      <c r="Z19" s="240">
        <f ca="1">J19*L20/1000</f>
        <v>1.0302399999999999E-4</v>
      </c>
      <c r="AA19" s="240"/>
      <c r="AB19" s="241" t="s">
        <v>41</v>
      </c>
      <c r="AC19" s="241"/>
      <c r="AD19" s="31" t="s">
        <v>1165</v>
      </c>
      <c r="AE19" s="31" t="str">
        <f t="shared" si="0"/>
        <v/>
      </c>
      <c r="AF19" s="31" t="s">
        <v>1165</v>
      </c>
      <c r="AG19" s="31" t="str">
        <f t="shared" si="2"/>
        <v/>
      </c>
      <c r="AH19" s="32"/>
      <c r="AI19" s="32" t="str">
        <f>IF(AH19&gt;0,(ROUNDUP(AH19/O$21,0)*O$19),"")</f>
        <v/>
      </c>
      <c r="AJ19" s="33" t="str">
        <f t="shared" si="3"/>
        <v/>
      </c>
      <c r="AK19" s="34" t="str">
        <f t="shared" si="4"/>
        <v/>
      </c>
      <c r="AL19" s="35"/>
      <c r="AM19" s="36" t="str">
        <f>IF(G20&gt;0,(301*J21*1000/I20),"")</f>
        <v/>
      </c>
      <c r="AN19" s="37" t="str">
        <f t="shared" si="1"/>
        <v/>
      </c>
      <c r="AO19" s="242"/>
      <c r="AP19" s="38">
        <f ca="1">(I20/J21/J22)*AH19/1000</f>
        <v>0</v>
      </c>
      <c r="AQ19" s="38">
        <f ca="1">AH19*$J$19</f>
        <v>0</v>
      </c>
      <c r="AR19" s="39" t="str">
        <f t="shared" si="5"/>
        <v/>
      </c>
      <c r="AT19" s="31" t="str">
        <f t="shared" si="6"/>
        <v/>
      </c>
      <c r="AU19" s="54"/>
      <c r="BC19"/>
      <c r="BD19"/>
    </row>
    <row r="20" spans="1:56" ht="17.7" customHeight="1">
      <c r="A20" s="254"/>
      <c r="B20" s="243" t="s">
        <v>42</v>
      </c>
      <c r="C20" s="244"/>
      <c r="D20" s="244"/>
      <c r="E20" s="245"/>
      <c r="F20" s="245"/>
      <c r="G20" s="246"/>
      <c r="H20" s="41" t="str">
        <f ca="1">IF(C19="two part box",IF((K20="C"),INDIRECT(B20&amp;".F58"),IF((K20="EB"),INDIRECT(B20&amp;".F59"),IF((K20="BC"),INDIRECT(B20&amp;".F60"),INDIRECT(B20&amp;".F57")))),"")</f>
        <v/>
      </c>
      <c r="I20" s="230" cm="1">
        <f t="array" aca="1" ref="I20" ca="1">_xlfn.LET(
  _xlpm.code, TRIM(SUBSTITUTE(K20,"/","")),
  _xlpm.r, _xlfn.XLOOKUP(_xlpm.code, {"E","B","C","EB","BC"}, {51,51,52,53,54}, ""),
  _xlpm.val, IF(_xlpm.r="",0,N(INDIRECT("'"&amp;B20&amp;"'!F"&amp;_xlpm.r))),
  _xlpm.val*N(J21) + IF(B19="Die cut",25,0)
)</f>
        <v>47</v>
      </c>
      <c r="J20" s="236"/>
      <c r="K20" s="42" t="str">
        <f>VLOOKUP(K22,baza!$A$1:$F$353,6,0)</f>
        <v>B</v>
      </c>
      <c r="L20" s="43">
        <f>VLOOKUP(K22,baza!$A$1:$F$353,5,0)</f>
        <v>274</v>
      </c>
      <c r="M20" s="44" t="s">
        <v>43</v>
      </c>
      <c r="N20" s="45" t="str">
        <f ca="1">IF(AND(N19&lt;&gt;"ISOWA",N19&lt;&gt;"ETERNA"),IF(AND(TEXO!B41=1,W19&lt;4),"TEXO",IF(AND(TEXO!B41=1,W19&lt;4),"TEXO+KLEJ","")),"")</f>
        <v/>
      </c>
      <c r="O20" s="46">
        <f>Pakowanie!H39</f>
        <v>0</v>
      </c>
      <c r="P20" s="47">
        <f>Pakowanie!I39</f>
        <v>0</v>
      </c>
      <c r="Q20" s="48">
        <v>2100</v>
      </c>
      <c r="R20" s="49"/>
      <c r="S20" s="50">
        <f>IF(OR(P19="EURO",   P19="industrial 1200x800",    P19="industrial 1200x1000"),1200,    IF(P19="special 1600x1200",1600,    IF(P19="special 2400x1200",2400,   IF(P19="special 2000x1800",2000,    " "))))</f>
        <v>1200</v>
      </c>
      <c r="T20" s="51">
        <f>IF(OR(P19="EURO",P19="industrial 1200x800"),800,    IF(P19="industrial 1200x1000",1000,     IF(OR(P19="special 1600x1200",P19="special 2400x1200"),1200,   IF(P19="special 2000x1800",1800,  " "))))</f>
        <v>800</v>
      </c>
      <c r="U20" s="59">
        <f ca="1">Pakowanie!C39</f>
        <v>20</v>
      </c>
      <c r="V20" s="59">
        <f ca="1">Pakowanie!D39</f>
        <v>20</v>
      </c>
      <c r="W20" s="247" t="s">
        <v>43</v>
      </c>
      <c r="X20" s="31" t="str">
        <f>IF(AH20&gt;0,(IF((AQ20&gt;=500),VLOOKUP($K$22,baza!$A$1:$F$352,3,0),VLOOKUP($K$22,baza!$A$1:$F$352,3,0)+0.1)),"")</f>
        <v/>
      </c>
      <c r="Y20" s="1" t="str">
        <f>IF(AH20&gt;0,(J$19*X20),"")</f>
        <v/>
      </c>
      <c r="Z20" s="240"/>
      <c r="AA20" s="240"/>
      <c r="AB20" s="241"/>
      <c r="AC20" s="241"/>
      <c r="AD20" s="31" t="s">
        <v>1165</v>
      </c>
      <c r="AE20" s="31" t="str">
        <f t="shared" si="0"/>
        <v/>
      </c>
      <c r="AF20" s="31" t="s">
        <v>1165</v>
      </c>
      <c r="AG20" s="31" t="str">
        <f t="shared" si="2"/>
        <v/>
      </c>
      <c r="AH20" s="32"/>
      <c r="AI20" s="32" t="str">
        <f>IF(AH20&gt;0,(ROUNDUP(AH20/O$21,0)*O$19),"")</f>
        <v/>
      </c>
      <c r="AJ20" s="33" t="str">
        <f t="shared" si="3"/>
        <v/>
      </c>
      <c r="AK20" s="34" t="str">
        <f t="shared" si="4"/>
        <v/>
      </c>
      <c r="AL20" s="35"/>
      <c r="AM20" s="53" t="str">
        <f>IF(G20&gt;0,(501*J21*1000/I20),"")</f>
        <v/>
      </c>
      <c r="AN20" s="37" t="str">
        <f t="shared" si="1"/>
        <v/>
      </c>
      <c r="AO20" s="242"/>
      <c r="AP20" s="38">
        <f ca="1">(I20/J21/J22)*AH20/1000</f>
        <v>0</v>
      </c>
      <c r="AQ20" s="38">
        <f ca="1">AH20*$J$19</f>
        <v>0</v>
      </c>
      <c r="AR20" s="39" t="str">
        <f t="shared" si="5"/>
        <v/>
      </c>
      <c r="AT20" s="31" t="str">
        <f t="shared" si="6"/>
        <v/>
      </c>
      <c r="AU20" s="54"/>
      <c r="AY20" s="55" t="str">
        <f>IF(E20&gt;0,CONCATENATE("_",C20,IF(C20&gt;0,"x",""),E20,"x",G20),"")</f>
        <v/>
      </c>
      <c r="BC20"/>
      <c r="BD20"/>
    </row>
    <row r="21" spans="1:56" ht="17.399999999999999">
      <c r="A21" s="254"/>
      <c r="B21" s="243"/>
      <c r="C21" s="244"/>
      <c r="D21" s="244"/>
      <c r="E21" s="245"/>
      <c r="F21" s="245"/>
      <c r="G21" s="246"/>
      <c r="H21" s="56"/>
      <c r="I21" s="23" t="s">
        <v>44</v>
      </c>
      <c r="J21" s="57">
        <v>1</v>
      </c>
      <c r="K21" s="248" t="str">
        <f>VLOOKUP(K22,baza!$A$1:$F$353,4,0)</f>
        <v>SCHR80/SCHR80/SCHR80</v>
      </c>
      <c r="L21" s="248"/>
      <c r="M21" s="45" t="s">
        <v>43</v>
      </c>
      <c r="N21" s="45" t="str">
        <f ca="1">IF(AND(N19&lt;&gt;"ISOWA",N19&lt;&gt;"ETERNA",N20&lt;&gt;"TEXO",N20&lt;&gt;"TEXO+KLEJ"),IF(AND(KYS!$B36=1,KYS!$C39=1),"KYS",""),"")</f>
        <v/>
      </c>
      <c r="O21" s="249">
        <f>Pakowanie!L39</f>
        <v>0</v>
      </c>
      <c r="P21" s="249"/>
      <c r="Q21" s="249"/>
      <c r="R21" s="58" t="s">
        <v>45</v>
      </c>
      <c r="S21" s="27">
        <v>20</v>
      </c>
      <c r="T21" s="27">
        <v>50</v>
      </c>
      <c r="U21" s="250" t="s">
        <v>46</v>
      </c>
      <c r="V21" s="250"/>
      <c r="W21" s="247"/>
      <c r="X21" s="31" t="str">
        <f>IF(AH21&gt;0,(IF((AQ21&gt;=500),VLOOKUP($K$22,baza!$A$1:$F$352,3,0),VLOOKUP($K$22,baza!$A$1:$F$352,3,0)+0.1)),"")</f>
        <v/>
      </c>
      <c r="Y21" s="1" t="str">
        <f>IF(AH21&gt;0,(J$19*X21),"")</f>
        <v/>
      </c>
      <c r="Z21" s="60">
        <f>AH19</f>
        <v>0</v>
      </c>
      <c r="AA21" s="61" t="s">
        <v>47</v>
      </c>
      <c r="AB21" s="62">
        <f ca="1">AH19*Z19</f>
        <v>0</v>
      </c>
      <c r="AC21" s="63" t="s">
        <v>48</v>
      </c>
      <c r="AD21" s="31" t="s">
        <v>1165</v>
      </c>
      <c r="AE21" s="31" t="str">
        <f t="shared" si="0"/>
        <v/>
      </c>
      <c r="AF21" s="31" t="s">
        <v>1165</v>
      </c>
      <c r="AG21" s="31" t="str">
        <f t="shared" si="2"/>
        <v/>
      </c>
      <c r="AH21" s="32"/>
      <c r="AI21" s="32" t="str">
        <f>IF(AH21&gt;0,(ROUNDUP(AH21/O$21,0)*O$19),"")</f>
        <v/>
      </c>
      <c r="AJ21" s="33" t="str">
        <f t="shared" si="3"/>
        <v/>
      </c>
      <c r="AK21" s="34" t="str">
        <f t="shared" si="4"/>
        <v/>
      </c>
      <c r="AL21" s="35"/>
      <c r="AM21" s="64" t="str">
        <f>IF(G20&gt;0,201/J19,"")</f>
        <v/>
      </c>
      <c r="AN21" s="37" t="str">
        <f t="shared" si="1"/>
        <v/>
      </c>
      <c r="AO21" s="242"/>
      <c r="AP21" s="38">
        <f ca="1">(I20/J21/J22)*AH21/1000</f>
        <v>0</v>
      </c>
      <c r="AQ21" s="38">
        <f ca="1">AH21*$J$19</f>
        <v>0</v>
      </c>
      <c r="AR21" s="39" t="str">
        <f t="shared" si="5"/>
        <v/>
      </c>
      <c r="AT21" s="31" t="str">
        <f t="shared" si="6"/>
        <v/>
      </c>
      <c r="AU21" s="54"/>
      <c r="BC21"/>
      <c r="BD21"/>
    </row>
    <row r="22" spans="1:56" ht="18" thickBot="1">
      <c r="A22" s="254"/>
      <c r="B22" s="76"/>
      <c r="C22" s="251" t="s">
        <v>1165</v>
      </c>
      <c r="D22" s="251"/>
      <c r="E22" s="251"/>
      <c r="F22" s="251"/>
      <c r="G22" s="66"/>
      <c r="H22" s="67" t="str">
        <f ca="1">IF(C19="two part box",I22,"")</f>
        <v/>
      </c>
      <c r="I22" s="230" cm="1">
        <f t="array" aca="1" ref="I22" ca="1">_xlfn.LET(
  _xlpm.code, TRIM(SUBSTITUTE(K20,"/","")),
  _xlpm.r, _xlfn.XLOOKUP(_xlpm.code,{"E","B","C","EB","BC"},{51,51,52,53,54},""),
  _xlpm.val, IF(_xlpm.r="",0,N(INDIRECT("'"&amp;B20&amp;"'!G"&amp;_xlpm.r))),
  _xlpm.val*N(J22) + IF(B19="Die cut",25,0)
)</f>
        <v>8</v>
      </c>
      <c r="J22" s="68">
        <v>1</v>
      </c>
      <c r="K22" s="252" t="s">
        <v>54</v>
      </c>
      <c r="L22" s="252"/>
      <c r="M22" s="69"/>
      <c r="N22" s="69" t="str">
        <f ca="1">IF(OR(AND(TEXO!B41=2,W19&lt;4),AND(ETERNA!H41=1,ETERNA!H44=1)),"+KLEJ RĘCZNE","")</f>
        <v/>
      </c>
      <c r="O22" s="249"/>
      <c r="P22" s="249"/>
      <c r="Q22" s="249"/>
      <c r="R22" s="58" t="s">
        <v>51</v>
      </c>
      <c r="S22" s="50">
        <f>S20+S21*2</f>
        <v>1240</v>
      </c>
      <c r="T22" s="50">
        <f>T20+T21*2</f>
        <v>900</v>
      </c>
      <c r="U22" s="70">
        <f ca="1">IF(O20=Pakowanie!Q41,Pakowanie!K41,Pakowanie!K42)</f>
        <v>62</v>
      </c>
      <c r="V22" s="70">
        <f ca="1">IF(Pakowanie!K41=U22,Pakowanie!L41,Pakowanie!L42)</f>
        <v>45</v>
      </c>
      <c r="W22" s="247"/>
      <c r="X22" s="31" t="str">
        <f>IF(AH22&gt;0,(IF((AQ22&gt;=500),VLOOKUP($K$22,baza!$A$1:$F$352,3,0),VLOOKUP($K$22,baza!$A$1:$F$352,3,0)+0.1)),"")</f>
        <v/>
      </c>
      <c r="Y22" s="1" t="str">
        <f>IF(AH22&gt;0,(J$19*X22),"")</f>
        <v/>
      </c>
      <c r="Z22" s="253"/>
      <c r="AA22" s="253"/>
      <c r="AB22" s="253"/>
      <c r="AC22" s="253"/>
      <c r="AD22" s="72" t="s">
        <v>1165</v>
      </c>
      <c r="AE22" s="72" t="str">
        <f t="shared" si="0"/>
        <v/>
      </c>
      <c r="AF22" s="72" t="s">
        <v>1165</v>
      </c>
      <c r="AG22" s="72" t="str">
        <f t="shared" si="2"/>
        <v/>
      </c>
      <c r="AH22" s="73"/>
      <c r="AI22" s="73" t="str">
        <f>IF(AH22&gt;0,(ROUNDUP(AH22/O$21,0)*O$19),"")</f>
        <v/>
      </c>
      <c r="AJ22" s="33" t="str">
        <f t="shared" si="3"/>
        <v/>
      </c>
      <c r="AK22" s="34" t="str">
        <f t="shared" si="4"/>
        <v/>
      </c>
      <c r="AL22" s="35"/>
      <c r="AM22" s="74" t="str">
        <f>IF(G20&gt;0,501/J19,"")</f>
        <v/>
      </c>
      <c r="AN22" s="37" t="str">
        <f t="shared" si="1"/>
        <v/>
      </c>
      <c r="AO22" s="75" t="s">
        <v>43</v>
      </c>
      <c r="AP22" s="38">
        <f ca="1">(I20/J21/J22)*AH22/1000</f>
        <v>0</v>
      </c>
      <c r="AQ22" s="38">
        <f ca="1">AH22*$J$19</f>
        <v>0</v>
      </c>
      <c r="AR22" s="39" t="str">
        <f t="shared" si="5"/>
        <v/>
      </c>
      <c r="AT22" s="31" t="str">
        <f t="shared" si="6"/>
        <v/>
      </c>
      <c r="AU22" s="54"/>
      <c r="BC22"/>
      <c r="BD22"/>
    </row>
    <row r="23" spans="1:56" ht="18" thickTop="1">
      <c r="A23" s="254">
        <v>6</v>
      </c>
      <c r="B23" s="22" t="s">
        <v>35</v>
      </c>
      <c r="C23" s="235" t="str">
        <f ca="1">IF(AND(I24&gt;2855,N24&lt;&gt;"TEXO"),"two part box","")</f>
        <v/>
      </c>
      <c r="D23" s="235"/>
      <c r="E23" s="235"/>
      <c r="F23" s="235"/>
      <c r="G23" s="235"/>
      <c r="H23" s="77"/>
      <c r="I23" s="23" t="s">
        <v>36</v>
      </c>
      <c r="J23" s="236">
        <f ca="1">I24*I26/1000000/(J25*J26)</f>
        <v>3.7599999999999998E-4</v>
      </c>
      <c r="K23" s="237" t="str">
        <f ca="1">IF(AND(baza!$H7="progroup",I24&lt;700), "DOPŁATA DO TEKTURY","")</f>
        <v/>
      </c>
      <c r="L23" s="237"/>
      <c r="M23" s="24">
        <v>0</v>
      </c>
      <c r="N23" s="25" t="str">
        <f ca="1">IF(AND(ISOWA!$B50=1,W23&lt;3),"ISOWA", IF(AND(ETERNA!B50=1,W23=0),"ETERNA",""))</f>
        <v/>
      </c>
      <c r="O23" s="26">
        <f ca="1">Pakowanie!K48</f>
        <v>1</v>
      </c>
      <c r="P23" s="238" t="s">
        <v>53</v>
      </c>
      <c r="Q23" s="238"/>
      <c r="R23" s="27"/>
      <c r="S23" s="28" t="s">
        <v>38</v>
      </c>
      <c r="T23" s="29" t="s">
        <v>39</v>
      </c>
      <c r="U23" s="239" t="s">
        <v>40</v>
      </c>
      <c r="V23" s="239"/>
      <c r="W23" s="30">
        <v>0</v>
      </c>
      <c r="X23" s="31" t="str">
        <f>IF(AH23&gt;0,(IF((AQ23&gt;=500),VLOOKUP($K$26,baza!$A$1:$F$352,3,0),VLOOKUP($K$26,baza!$A$1:$F$352,3,0)+0.1)),"")</f>
        <v/>
      </c>
      <c r="Y23" s="1" t="str">
        <f>IF(AH23&gt;0,(J$23*X23),"")</f>
        <v/>
      </c>
      <c r="Z23" s="240">
        <f ca="1">J23*L24/1000</f>
        <v>1.0302399999999999E-4</v>
      </c>
      <c r="AA23" s="240"/>
      <c r="AB23" s="241" t="s">
        <v>41</v>
      </c>
      <c r="AC23" s="241"/>
      <c r="AD23" s="31" t="s">
        <v>1165</v>
      </c>
      <c r="AE23" s="31" t="str">
        <f t="shared" si="0"/>
        <v/>
      </c>
      <c r="AF23" s="31" t="s">
        <v>1165</v>
      </c>
      <c r="AG23" s="31" t="str">
        <f t="shared" si="2"/>
        <v/>
      </c>
      <c r="AH23" s="32"/>
      <c r="AI23" s="32" t="str">
        <f>IF(AH23&gt;0,(ROUNDUP(AH23/O$25,0)*O$23),"")</f>
        <v/>
      </c>
      <c r="AJ23" s="33" t="str">
        <f t="shared" si="3"/>
        <v/>
      </c>
      <c r="AK23" s="34" t="str">
        <f t="shared" si="4"/>
        <v/>
      </c>
      <c r="AL23" s="35"/>
      <c r="AM23" s="36" t="str">
        <f>IF(G24&gt;0,(301*J25*1000/I24),"")</f>
        <v/>
      </c>
      <c r="AN23" s="37" t="str">
        <f t="shared" si="1"/>
        <v/>
      </c>
      <c r="AO23" s="242"/>
      <c r="AP23" s="38">
        <f ca="1">(I24/J25/J26)*AH23/1000</f>
        <v>0</v>
      </c>
      <c r="AQ23" s="38">
        <f ca="1">AH23*$J$23</f>
        <v>0</v>
      </c>
      <c r="AR23" s="39" t="str">
        <f t="shared" si="5"/>
        <v/>
      </c>
      <c r="AT23" s="31" t="str">
        <f t="shared" si="6"/>
        <v/>
      </c>
      <c r="AU23" s="54"/>
      <c r="BC23"/>
      <c r="BD23"/>
    </row>
    <row r="24" spans="1:56" ht="17.7" customHeight="1">
      <c r="A24" s="254"/>
      <c r="B24" s="243" t="s">
        <v>42</v>
      </c>
      <c r="C24" s="244"/>
      <c r="D24" s="244"/>
      <c r="E24" s="245"/>
      <c r="F24" s="245"/>
      <c r="G24" s="246"/>
      <c r="H24" s="41" t="str">
        <f ca="1">IF(C23="two part box",IF((K24="C"),INDIRECT(B24&amp;".F70"),IF((K24="EB"),INDIRECT(B24&amp;".F71"),IF((K24="BC"),INDIRECT(B24&amp;".F72"),INDIRECT(B24&amp;".F69")))),"")</f>
        <v/>
      </c>
      <c r="I24" s="230" cm="1">
        <f t="array" aca="1" ref="I24" ca="1">_xlfn.LET(
  _xlpm.code, TRIM(SUBSTITUTE(K24,"/","")),
  _xlpm.r, _xlfn.XLOOKUP(_xlpm.code, {"E","B","C","EB","BC"}, {63,63,64,65,66}, ""),
  _xlpm.val, IF(_xlpm.r="",0,N(INDIRECT("'"&amp;B24&amp;"'!F"&amp;_xlpm.r))),
  _xlpm.val*N(J25) + IF(B23="Die cut",25,0)
)</f>
        <v>47</v>
      </c>
      <c r="J24" s="236"/>
      <c r="K24" s="42" t="str">
        <f>VLOOKUP(K26,baza!$A$1:$F$353,6,0)</f>
        <v>B</v>
      </c>
      <c r="L24" s="43">
        <f>VLOOKUP(K26,baza!$A$1:$F$353,5,0)</f>
        <v>274</v>
      </c>
      <c r="M24" s="44" t="s">
        <v>43</v>
      </c>
      <c r="N24" s="45" t="str">
        <f ca="1">IF(AND(N23&lt;&gt;"ISOWA",N23&lt;&gt;"ETERNA"),IF(AND(TEXO!B50=1,W23&lt;4),"TEXO",IF(AND(TEXO!B50=1,W23&lt;4),"TEXO+KLEJ","")),"")</f>
        <v/>
      </c>
      <c r="O24" s="46">
        <f>Pakowanie!H48</f>
        <v>0</v>
      </c>
      <c r="P24" s="47">
        <f>Pakowanie!I48</f>
        <v>0</v>
      </c>
      <c r="Q24" s="48">
        <v>2100</v>
      </c>
      <c r="R24" s="49"/>
      <c r="S24" s="50">
        <f>IF(OR(P23="EURO",   P23="industrial 1200x800",    P23="industrial 1200x1000"),1200,    IF(P23="special 1600x1200",1600,    IF(P23="special 2400x1200",2400,   IF(P23="special 2000x1800",2000,    " "))))</f>
        <v>1200</v>
      </c>
      <c r="T24" s="51">
        <f>IF(OR(P23="EURO",P23="industrial 1200x800"),800,    IF(P23="industrial 1200x1000",1000,     IF(OR(P23="special 1600x1200",P23="special 2400x1200"),1200,   IF(P23="special 2000x1800",1800,  " "))))</f>
        <v>800</v>
      </c>
      <c r="U24" s="59">
        <f ca="1">Pakowanie!C48</f>
        <v>20</v>
      </c>
      <c r="V24" s="59">
        <f ca="1">Pakowanie!D48</f>
        <v>20</v>
      </c>
      <c r="W24" s="247" t="s">
        <v>43</v>
      </c>
      <c r="X24" s="31" t="str">
        <f>IF(AH24&gt;0,(IF((AQ24&gt;=500),VLOOKUP($K$26,baza!$A$1:$F$352,3,0),VLOOKUP($K$26,baza!$A$1:$F$352,3,0)+0.1)),"")</f>
        <v/>
      </c>
      <c r="Y24" s="1" t="str">
        <f>IF(AH24&gt;0,(J$23*X24),"")</f>
        <v/>
      </c>
      <c r="Z24" s="240"/>
      <c r="AA24" s="240"/>
      <c r="AB24" s="241"/>
      <c r="AC24" s="241"/>
      <c r="AD24" s="31" t="s">
        <v>1165</v>
      </c>
      <c r="AE24" s="31" t="str">
        <f t="shared" si="0"/>
        <v/>
      </c>
      <c r="AF24" s="31" t="s">
        <v>1165</v>
      </c>
      <c r="AG24" s="31" t="str">
        <f t="shared" si="2"/>
        <v/>
      </c>
      <c r="AH24" s="32"/>
      <c r="AI24" s="32" t="str">
        <f>IF(AH24&gt;0,(ROUNDUP(AH24/O$25,0)*O$23),"")</f>
        <v/>
      </c>
      <c r="AJ24" s="33" t="str">
        <f t="shared" si="3"/>
        <v/>
      </c>
      <c r="AK24" s="34" t="str">
        <f t="shared" si="4"/>
        <v/>
      </c>
      <c r="AL24" s="35"/>
      <c r="AM24" s="53" t="str">
        <f>IF(G24&gt;0,(501*J25*1000/I24),"")</f>
        <v/>
      </c>
      <c r="AN24" s="37" t="str">
        <f t="shared" si="1"/>
        <v/>
      </c>
      <c r="AO24" s="242"/>
      <c r="AP24" s="38">
        <f ca="1">(I24/J25/J26)*AH24/1000</f>
        <v>0</v>
      </c>
      <c r="AQ24" s="38">
        <f ca="1">AH24*$J$23</f>
        <v>0</v>
      </c>
      <c r="AR24" s="39" t="str">
        <f t="shared" si="5"/>
        <v/>
      </c>
      <c r="AT24" s="31" t="str">
        <f t="shared" si="6"/>
        <v/>
      </c>
      <c r="AU24" s="54"/>
      <c r="AY24" s="55" t="str">
        <f>IF(E24&gt;0,CONCATENATE("_",C24,IF(C24&gt;0,"x",""),E24,"x",G24),"")</f>
        <v/>
      </c>
      <c r="BC24"/>
      <c r="BD24"/>
    </row>
    <row r="25" spans="1:56" ht="17.399999999999999">
      <c r="A25" s="254"/>
      <c r="B25" s="243"/>
      <c r="C25" s="244"/>
      <c r="D25" s="244"/>
      <c r="E25" s="245"/>
      <c r="F25" s="245"/>
      <c r="G25" s="246"/>
      <c r="H25" s="78"/>
      <c r="I25" s="23" t="s">
        <v>44</v>
      </c>
      <c r="J25" s="57">
        <v>1</v>
      </c>
      <c r="K25" s="248" t="str">
        <f>VLOOKUP(K26,baza!$A$1:$F$353,4,0)</f>
        <v>SCHR80/SCHR80/SCHR80</v>
      </c>
      <c r="L25" s="248"/>
      <c r="M25" s="45" t="s">
        <v>43</v>
      </c>
      <c r="N25" s="45" t="str">
        <f ca="1">IF(AND(N23&lt;&gt;"ISOWA",N23&lt;&gt;"ETERNA",N24&lt;&gt;"TEXO",N24&lt;&gt;"TEXO+KLEJ"),IF(AND(KYS!$B44=1,KYS!$C47=1),"KYS",""),"")</f>
        <v/>
      </c>
      <c r="O25" s="249">
        <f>Pakowanie!L48</f>
        <v>0</v>
      </c>
      <c r="P25" s="249"/>
      <c r="Q25" s="249"/>
      <c r="R25" s="58" t="s">
        <v>45</v>
      </c>
      <c r="S25" s="27">
        <v>20</v>
      </c>
      <c r="T25" s="27">
        <v>50</v>
      </c>
      <c r="U25" s="250" t="s">
        <v>46</v>
      </c>
      <c r="V25" s="250"/>
      <c r="W25" s="247"/>
      <c r="X25" s="31" t="str">
        <f>IF(AH25&gt;0,(IF((AQ25&gt;=500),VLOOKUP($K$26,baza!$A$1:$F$352,3,0),VLOOKUP($K$26,baza!$A$1:$F$352,3,0)+0.1)),"")</f>
        <v/>
      </c>
      <c r="Y25" s="1" t="str">
        <f>IF(AH25&gt;0,(J$23*X25),"")</f>
        <v/>
      </c>
      <c r="Z25" s="60">
        <f>AH23</f>
        <v>0</v>
      </c>
      <c r="AA25" s="61" t="s">
        <v>55</v>
      </c>
      <c r="AB25" s="62">
        <f ca="1">AH23*Z23</f>
        <v>0</v>
      </c>
      <c r="AC25" s="63" t="s">
        <v>48</v>
      </c>
      <c r="AD25" s="31" t="s">
        <v>1165</v>
      </c>
      <c r="AE25" s="31" t="str">
        <f t="shared" si="0"/>
        <v/>
      </c>
      <c r="AF25" s="31" t="s">
        <v>1165</v>
      </c>
      <c r="AG25" s="31" t="str">
        <f t="shared" si="2"/>
        <v/>
      </c>
      <c r="AH25" s="32"/>
      <c r="AI25" s="32" t="str">
        <f>IF(AH25&gt;0,(ROUNDUP(AH25/O$25,0)*O$23),"")</f>
        <v/>
      </c>
      <c r="AJ25" s="33" t="str">
        <f t="shared" si="3"/>
        <v/>
      </c>
      <c r="AK25" s="34" t="str">
        <f t="shared" si="4"/>
        <v/>
      </c>
      <c r="AL25" s="35"/>
      <c r="AM25" s="64" t="str">
        <f>IF(G24&gt;0,201/J23,"")</f>
        <v/>
      </c>
      <c r="AN25" s="37" t="str">
        <f t="shared" si="1"/>
        <v/>
      </c>
      <c r="AO25" s="242"/>
      <c r="AP25" s="38">
        <f ca="1">(I24/J25/J26)*AH25/1000</f>
        <v>0</v>
      </c>
      <c r="AQ25" s="38">
        <f ca="1">AH25*$J$23</f>
        <v>0</v>
      </c>
      <c r="AR25" s="39" t="str">
        <f t="shared" si="5"/>
        <v/>
      </c>
      <c r="AT25" s="31" t="str">
        <f t="shared" si="6"/>
        <v/>
      </c>
      <c r="AU25" s="54"/>
      <c r="BC25"/>
      <c r="BD25"/>
    </row>
    <row r="26" spans="1:56" ht="18" thickBot="1">
      <c r="A26" s="254"/>
      <c r="B26" s="76"/>
      <c r="C26" s="251" t="s">
        <v>1165</v>
      </c>
      <c r="D26" s="251"/>
      <c r="E26" s="251"/>
      <c r="F26" s="251"/>
      <c r="G26" s="66"/>
      <c r="H26" s="67" t="str">
        <f ca="1">IF(C23="two part box",I26,"")</f>
        <v/>
      </c>
      <c r="I26" s="230" cm="1">
        <f t="array" aca="1" ref="I26" ca="1">_xlfn.LET(
  _xlpm.code, TRIM(SUBSTITUTE(K24,"/","")),
  _xlpm.r, _xlfn.XLOOKUP(_xlpm.code,{"E","B","C","EB","BC"},{63,63,64,65,66},""),
  _xlpm.val, IF(_xlpm.r="",0,N(INDIRECT("'"&amp;B24&amp;"'!G"&amp;_xlpm.r))),
  _xlpm.val*N(J26) + IF(B23="Die cut",25,0)
)</f>
        <v>8</v>
      </c>
      <c r="J26" s="68">
        <v>1</v>
      </c>
      <c r="K26" s="252" t="s">
        <v>54</v>
      </c>
      <c r="L26" s="252"/>
      <c r="M26" s="69"/>
      <c r="N26" s="69" t="str">
        <f ca="1">IF(OR(AND(TEXO!B50=2,W23&lt;4),AND(ETERNA!H50=1,ETERNA!H53=1)),"+KLEJ RĘCZNE","")</f>
        <v/>
      </c>
      <c r="O26" s="249"/>
      <c r="P26" s="249"/>
      <c r="Q26" s="249"/>
      <c r="R26" s="58" t="s">
        <v>51</v>
      </c>
      <c r="S26" s="50">
        <f>S24+S25*2</f>
        <v>1240</v>
      </c>
      <c r="T26" s="50">
        <f>T24+T25*2</f>
        <v>900</v>
      </c>
      <c r="U26" s="70">
        <f ca="1">IF(O24=Pakowanie!Q50,Pakowanie!K50,Pakowanie!K51)</f>
        <v>62</v>
      </c>
      <c r="V26" s="70">
        <f ca="1">IF(Pakowanie!K50=U26,Pakowanie!L50,Pakowanie!L51)</f>
        <v>45</v>
      </c>
      <c r="W26" s="247"/>
      <c r="X26" s="31" t="str">
        <f>IF(AH26&gt;0,(IF((AQ26&gt;=500),VLOOKUP($K$26,baza!$A$1:$F$352,3,0),VLOOKUP($K$26,baza!$A$1:$F$352,3,0)+0.1)),"")</f>
        <v/>
      </c>
      <c r="Y26" s="1" t="str">
        <f>IF(AH26&gt;0,(J$23*X26),"")</f>
        <v/>
      </c>
      <c r="Z26" s="253"/>
      <c r="AA26" s="253"/>
      <c r="AB26" s="253"/>
      <c r="AC26" s="253"/>
      <c r="AD26" s="72" t="s">
        <v>1165</v>
      </c>
      <c r="AE26" s="72" t="str">
        <f t="shared" si="0"/>
        <v/>
      </c>
      <c r="AF26" s="72" t="s">
        <v>1165</v>
      </c>
      <c r="AG26" s="72" t="str">
        <f t="shared" si="2"/>
        <v/>
      </c>
      <c r="AH26" s="73"/>
      <c r="AI26" s="73" t="str">
        <f>IF(AH26&gt;0,(ROUNDUP(AH26/O$25,0)*O$23),"")</f>
        <v/>
      </c>
      <c r="AJ26" s="33" t="str">
        <f t="shared" si="3"/>
        <v/>
      </c>
      <c r="AK26" s="34" t="str">
        <f t="shared" si="4"/>
        <v/>
      </c>
      <c r="AL26" s="35"/>
      <c r="AM26" s="74" t="str">
        <f>IF(G24&gt;0,501/J23,"")</f>
        <v/>
      </c>
      <c r="AN26" s="37" t="str">
        <f t="shared" si="1"/>
        <v/>
      </c>
      <c r="AO26" s="75" t="s">
        <v>43</v>
      </c>
      <c r="AP26" s="38">
        <f ca="1">(I24/J25/J26)*AH26/1000</f>
        <v>0</v>
      </c>
      <c r="AQ26" s="38">
        <f ca="1">AH26*$J$23</f>
        <v>0</v>
      </c>
      <c r="AR26" s="39" t="str">
        <f t="shared" si="5"/>
        <v/>
      </c>
      <c r="AT26" s="31" t="str">
        <f t="shared" si="6"/>
        <v/>
      </c>
      <c r="AU26" s="54"/>
      <c r="BC26"/>
      <c r="BD26"/>
    </row>
    <row r="27" spans="1:56" ht="18" thickTop="1">
      <c r="A27" s="254">
        <v>7</v>
      </c>
      <c r="B27" s="22" t="s">
        <v>35</v>
      </c>
      <c r="C27" s="235" t="str">
        <f ca="1">IF(AND(I28&gt;2855,N28&lt;&gt;"TEXO"),"two part box","")</f>
        <v/>
      </c>
      <c r="D27" s="235"/>
      <c r="E27" s="235"/>
      <c r="F27" s="235"/>
      <c r="G27" s="235"/>
      <c r="H27" s="77"/>
      <c r="I27" s="23" t="s">
        <v>36</v>
      </c>
      <c r="J27" s="236">
        <f ca="1">I28*I30/1000000/(J29*J30)</f>
        <v>3.7599999999999998E-4</v>
      </c>
      <c r="K27" s="237" t="str">
        <f ca="1">IF(AND(baza!$H8="progroup",I28&lt;700), "DOPŁATA DO TEKTURY","")</f>
        <v/>
      </c>
      <c r="L27" s="237"/>
      <c r="M27" s="24">
        <v>0</v>
      </c>
      <c r="N27" s="25" t="str">
        <f ca="1">IF(AND(ISOWA!$B59=1,W27&lt;3),"ISOWA", IF(AND(ETERNA!B59=1,W27=0),"ETERNA",""))</f>
        <v/>
      </c>
      <c r="O27" s="26">
        <f ca="1">Pakowanie!K57</f>
        <v>1</v>
      </c>
      <c r="P27" s="238" t="s">
        <v>53</v>
      </c>
      <c r="Q27" s="238"/>
      <c r="R27" s="27"/>
      <c r="S27" s="28" t="s">
        <v>38</v>
      </c>
      <c r="T27" s="29" t="s">
        <v>39</v>
      </c>
      <c r="U27" s="239" t="s">
        <v>40</v>
      </c>
      <c r="V27" s="239"/>
      <c r="W27" s="30">
        <v>0</v>
      </c>
      <c r="X27" s="31" t="str">
        <f>IF(AH27&gt;0,(IF((AQ27&gt;=500),VLOOKUP($K$30,baza!$A$1:$F$352,3,0),VLOOKUP($K$30,baza!$A$1:$F$352,3,0)+0.1)),"")</f>
        <v/>
      </c>
      <c r="Y27" s="1" t="str">
        <f>IF(AH27&gt;0,(J$27*X27),"")</f>
        <v/>
      </c>
      <c r="Z27" s="240">
        <f ca="1">J27*L28/1000</f>
        <v>1.0302399999999999E-4</v>
      </c>
      <c r="AA27" s="240"/>
      <c r="AB27" s="241" t="s">
        <v>41</v>
      </c>
      <c r="AC27" s="241"/>
      <c r="AD27" s="31" t="s">
        <v>1165</v>
      </c>
      <c r="AE27" s="31" t="str">
        <f t="shared" si="0"/>
        <v/>
      </c>
      <c r="AF27" s="31" t="s">
        <v>1165</v>
      </c>
      <c r="AG27" s="31" t="str">
        <f t="shared" si="2"/>
        <v/>
      </c>
      <c r="AH27" s="32"/>
      <c r="AI27" s="32" t="str">
        <f>IF(AH27&gt;0,(ROUNDUP(AH27/O$29,0)*O$27),"")</f>
        <v/>
      </c>
      <c r="AJ27" s="33" t="str">
        <f t="shared" si="3"/>
        <v/>
      </c>
      <c r="AK27" s="34" t="str">
        <f t="shared" si="4"/>
        <v/>
      </c>
      <c r="AL27" s="35"/>
      <c r="AM27" s="36" t="str">
        <f>IF(G28&gt;0,(301*J29*1000/I28),"")</f>
        <v/>
      </c>
      <c r="AN27" s="37" t="str">
        <f t="shared" si="1"/>
        <v/>
      </c>
      <c r="AO27" s="242"/>
      <c r="AP27" s="38">
        <f ca="1">(I28/J29/J30)*AH27/1000</f>
        <v>0</v>
      </c>
      <c r="AQ27" s="38">
        <f ca="1">AH27*$J$27</f>
        <v>0</v>
      </c>
      <c r="AR27" s="39" t="str">
        <f t="shared" si="5"/>
        <v/>
      </c>
      <c r="AT27" s="31" t="str">
        <f t="shared" si="6"/>
        <v/>
      </c>
      <c r="AU27" s="54"/>
      <c r="BC27"/>
      <c r="BD27"/>
    </row>
    <row r="28" spans="1:56" ht="17.7" customHeight="1">
      <c r="A28" s="254"/>
      <c r="B28" s="243" t="s">
        <v>42</v>
      </c>
      <c r="C28" s="244"/>
      <c r="D28" s="244"/>
      <c r="E28" s="245"/>
      <c r="F28" s="245"/>
      <c r="G28" s="246"/>
      <c r="H28" s="41" t="str">
        <f ca="1">IF(C27="two part box",IF((K28="C"),INDIRECT(B28&amp;".F82"),IF((K28="EB"),INDIRECT(B28&amp;".F83"),IF((K28="BC"),INDIRECT(B28&amp;".F84"),INDIRECT(B28&amp;".F81")))),"")</f>
        <v/>
      </c>
      <c r="I28" s="230" cm="1">
        <f t="array" aca="1" ref="I28" ca="1">_xlfn.LET(
  _xlpm.code, TRIM(SUBSTITUTE(K28,"/","")),
  _xlpm.r, _xlfn.XLOOKUP(_xlpm.code, {"E","B","C","EB","BC"}, {75,75,76,77,78}, ""),
  _xlpm.val, IF(_xlpm.r="",0,N(INDIRECT("'"&amp;B28&amp;"'!F"&amp;_xlpm.r))),
  _xlpm.val*N(J29) + IF(B27="Die cut",25,0)
)</f>
        <v>47</v>
      </c>
      <c r="J28" s="236"/>
      <c r="K28" s="42" t="str">
        <f>VLOOKUP(K30,baza!$A$1:$F$353,6,0)</f>
        <v>B</v>
      </c>
      <c r="L28" s="43">
        <f>VLOOKUP(K30,baza!$A$1:$F$353,5,0)</f>
        <v>274</v>
      </c>
      <c r="M28" s="44" t="s">
        <v>43</v>
      </c>
      <c r="N28" s="45" t="str">
        <f ca="1">IF(AND(N27&lt;&gt;"ISOWA",N27&lt;&gt;"ETERNA"),IF(AND(TEXO!B59=1,W27&lt;4),"TEXO",IF(AND(TEXO!B59=1,W27&lt;4),"TEXO+KLEJ","")),"")</f>
        <v/>
      </c>
      <c r="O28" s="46">
        <f>Pakowanie!H57</f>
        <v>0</v>
      </c>
      <c r="P28" s="47">
        <f>Pakowanie!I57</f>
        <v>0</v>
      </c>
      <c r="Q28" s="48">
        <v>2100</v>
      </c>
      <c r="R28" s="49"/>
      <c r="S28" s="50">
        <f>IF(OR(P27="EURO",   P27="industrial 1200x800",    P27="industrial 1200x1000"),1200,    IF(P27="special 1600x1200",1600,    IF(P27="special 2400x1200",2400,   IF(P27="special 2000x1800",2000,    " "))))</f>
        <v>1200</v>
      </c>
      <c r="T28" s="51">
        <f>IF(OR(P27="EURO",P27="industrial 1200x800"),800,    IF(P27="industrial 1200x1000",1000,     IF(OR(P27="special 1600x1200",P27="special 2400x1200"),1200,   IF(P27="special 2000x1800",1800,  " "))))</f>
        <v>800</v>
      </c>
      <c r="U28" s="59">
        <f ca="1">Pakowanie!C57</f>
        <v>20</v>
      </c>
      <c r="V28" s="59">
        <f ca="1">Pakowanie!D57</f>
        <v>20</v>
      </c>
      <c r="W28" s="247" t="s">
        <v>43</v>
      </c>
      <c r="X28" s="31" t="str">
        <f>IF(AH28&gt;0,(IF((AQ28&gt;=500),VLOOKUP($K$30,baza!$A$1:$F$352,3,0),VLOOKUP($K$30,baza!$A$1:$F$352,3,0)+0.1)),"")</f>
        <v/>
      </c>
      <c r="Y28" s="1" t="str">
        <f>IF(AH28&gt;0,(J$27*X28),"")</f>
        <v/>
      </c>
      <c r="Z28" s="240"/>
      <c r="AA28" s="240"/>
      <c r="AB28" s="241"/>
      <c r="AC28" s="241"/>
      <c r="AD28" s="31" t="s">
        <v>1165</v>
      </c>
      <c r="AE28" s="31" t="str">
        <f t="shared" si="0"/>
        <v/>
      </c>
      <c r="AF28" s="31" t="s">
        <v>1165</v>
      </c>
      <c r="AG28" s="31" t="str">
        <f t="shared" si="2"/>
        <v/>
      </c>
      <c r="AH28" s="32"/>
      <c r="AI28" s="32" t="str">
        <f>IF(AH28&gt;0,(ROUNDUP(AH28/O$29,0)*O$27),"")</f>
        <v/>
      </c>
      <c r="AJ28" s="33" t="str">
        <f t="shared" si="3"/>
        <v/>
      </c>
      <c r="AK28" s="34" t="str">
        <f t="shared" si="4"/>
        <v/>
      </c>
      <c r="AL28" s="35"/>
      <c r="AM28" s="53" t="str">
        <f>IF(G28&gt;0,(501*J29*1000/I28),"")</f>
        <v/>
      </c>
      <c r="AN28" s="37" t="str">
        <f t="shared" si="1"/>
        <v/>
      </c>
      <c r="AO28" s="242"/>
      <c r="AP28" s="38">
        <f ca="1">(I28/J29/J30)*AH28/1000</f>
        <v>0</v>
      </c>
      <c r="AQ28" s="38">
        <f ca="1">AH28*$J$27</f>
        <v>0</v>
      </c>
      <c r="AR28" s="39" t="str">
        <f t="shared" si="5"/>
        <v/>
      </c>
      <c r="AT28" s="31" t="str">
        <f t="shared" si="6"/>
        <v/>
      </c>
      <c r="AU28" s="54"/>
      <c r="AY28" s="55" t="str">
        <f>IF(E28&gt;0,CONCATENATE("_",C28,IF(C28&gt;0,"x",""),E28,"x",G28),"")</f>
        <v/>
      </c>
      <c r="BC28"/>
      <c r="BD28"/>
    </row>
    <row r="29" spans="1:56" ht="17.399999999999999">
      <c r="A29" s="254"/>
      <c r="B29" s="243"/>
      <c r="C29" s="244"/>
      <c r="D29" s="244"/>
      <c r="E29" s="245"/>
      <c r="F29" s="245"/>
      <c r="G29" s="246"/>
      <c r="H29" s="78"/>
      <c r="I29" s="23" t="s">
        <v>44</v>
      </c>
      <c r="J29" s="57">
        <v>1</v>
      </c>
      <c r="K29" s="248" t="str">
        <f>VLOOKUP(K30,baza!$A$1:$F$353,4,0)</f>
        <v>SCHR80/SCHR80/SCHR80</v>
      </c>
      <c r="L29" s="248"/>
      <c r="M29" s="45" t="s">
        <v>43</v>
      </c>
      <c r="N29" s="45" t="str">
        <f ca="1">IF(AND(N27&lt;&gt;"ISOWA",N27&lt;&gt;"ETERNA",N28&lt;&gt;"TEXO",N28&lt;&gt;"TEXO+KLEJ"),IF(AND(KYS!$B52=1,KYS!$C55=1),"KYS",""),"")</f>
        <v/>
      </c>
      <c r="O29" s="249">
        <f>Pakowanie!L57</f>
        <v>0</v>
      </c>
      <c r="P29" s="249"/>
      <c r="Q29" s="249"/>
      <c r="R29" s="58" t="s">
        <v>45</v>
      </c>
      <c r="S29" s="27">
        <v>20</v>
      </c>
      <c r="T29" s="27">
        <v>50</v>
      </c>
      <c r="U29" s="250" t="s">
        <v>46</v>
      </c>
      <c r="V29" s="250"/>
      <c r="W29" s="247"/>
      <c r="X29" s="31" t="str">
        <f>IF(AH29&gt;0,(IF((AQ29&gt;=500),VLOOKUP($K$30,baza!$A$1:$F$352,3,0),VLOOKUP($K$30,baza!$A$1:$F$352,3,0)+0.1)),"")</f>
        <v/>
      </c>
      <c r="Y29" s="1" t="str">
        <f>IF(AH29&gt;0,(J$27*X29),"")</f>
        <v/>
      </c>
      <c r="Z29" s="60">
        <f>AH27</f>
        <v>0</v>
      </c>
      <c r="AA29" s="61" t="s">
        <v>47</v>
      </c>
      <c r="AB29" s="62">
        <f ca="1">AH27*Z27</f>
        <v>0</v>
      </c>
      <c r="AC29" s="63" t="s">
        <v>48</v>
      </c>
      <c r="AD29" s="31" t="s">
        <v>1165</v>
      </c>
      <c r="AE29" s="31" t="str">
        <f t="shared" si="0"/>
        <v/>
      </c>
      <c r="AF29" s="31" t="s">
        <v>1165</v>
      </c>
      <c r="AG29" s="31" t="str">
        <f t="shared" si="2"/>
        <v/>
      </c>
      <c r="AH29" s="32"/>
      <c r="AI29" s="32" t="str">
        <f>IF(AH29&gt;0,(ROUNDUP(AH29/O$29,0)*O$27),"")</f>
        <v/>
      </c>
      <c r="AJ29" s="33" t="str">
        <f t="shared" si="3"/>
        <v/>
      </c>
      <c r="AK29" s="34" t="str">
        <f t="shared" si="4"/>
        <v/>
      </c>
      <c r="AL29" s="35"/>
      <c r="AM29" s="64" t="str">
        <f>IF(G28&gt;0,201/J27,"")</f>
        <v/>
      </c>
      <c r="AN29" s="37" t="str">
        <f t="shared" si="1"/>
        <v/>
      </c>
      <c r="AO29" s="242"/>
      <c r="AP29" s="38">
        <f ca="1">(I28/J29/J30)*AH29/1000</f>
        <v>0</v>
      </c>
      <c r="AQ29" s="38">
        <f ca="1">AH29*$J$27</f>
        <v>0</v>
      </c>
      <c r="AR29" s="39" t="str">
        <f t="shared" si="5"/>
        <v/>
      </c>
      <c r="AT29" s="31" t="str">
        <f t="shared" si="6"/>
        <v/>
      </c>
      <c r="AU29" s="54"/>
      <c r="BC29"/>
      <c r="BD29"/>
    </row>
    <row r="30" spans="1:56" ht="18" thickBot="1">
      <c r="A30" s="254"/>
      <c r="B30" s="76"/>
      <c r="C30" s="251" t="s">
        <v>1165</v>
      </c>
      <c r="D30" s="251"/>
      <c r="E30" s="251"/>
      <c r="F30" s="251"/>
      <c r="G30" s="66"/>
      <c r="H30" s="67" t="str">
        <f ca="1">IF(C27="two part box",I30,"")</f>
        <v/>
      </c>
      <c r="I30" s="230" cm="1">
        <f t="array" aca="1" ref="I30" ca="1">_xlfn.LET(
  _xlpm.code, TRIM(SUBSTITUTE(K28,"/","")),
  _xlpm.r, _xlfn.XLOOKUP(_xlpm.code,{"E","B","C","EB","BC"},{75,75,76,77,78},""),
  _xlpm.val, IF(_xlpm.r="",0,N(INDIRECT("'"&amp;B28&amp;"'!G"&amp;_xlpm.r))),
  _xlpm.val*N(J30) + IF(B27="Die cut",25,0)
)</f>
        <v>8</v>
      </c>
      <c r="J30" s="68">
        <v>1</v>
      </c>
      <c r="K30" s="252" t="s">
        <v>54</v>
      </c>
      <c r="L30" s="252"/>
      <c r="M30" s="69"/>
      <c r="N30" s="69" t="str">
        <f ca="1">IF(OR(AND(TEXO!B59=2,W27&lt;4),AND(ETERNA!H59=1,ETERNA!H62=1)),"+KLEJ RĘCZNE","")</f>
        <v/>
      </c>
      <c r="O30" s="249"/>
      <c r="P30" s="249"/>
      <c r="Q30" s="249"/>
      <c r="R30" s="58" t="s">
        <v>51</v>
      </c>
      <c r="S30" s="50">
        <f>S28+S29*2</f>
        <v>1240</v>
      </c>
      <c r="T30" s="50">
        <f>T28+T29*2</f>
        <v>900</v>
      </c>
      <c r="U30" s="70">
        <f ca="1">IF(O28=Pakowanie!Q59,Pakowanie!K59,Pakowanie!K60)</f>
        <v>62</v>
      </c>
      <c r="V30" s="70">
        <f ca="1">IF(Pakowanie!K59=U30,Pakowanie!L59,Pakowanie!L60)</f>
        <v>45</v>
      </c>
      <c r="W30" s="247"/>
      <c r="X30" s="31" t="str">
        <f>IF(AH30&gt;0,(IF((AQ30&gt;=500),VLOOKUP($K$30,baza!$A$1:$F$352,3,0),VLOOKUP($K$30,baza!$A$1:$F$352,3,0)+0.1)),"")</f>
        <v/>
      </c>
      <c r="Y30" s="1" t="str">
        <f>IF(AH30&gt;0,(J$27*X30),"")</f>
        <v/>
      </c>
      <c r="Z30" s="253"/>
      <c r="AA30" s="253"/>
      <c r="AB30" s="253"/>
      <c r="AC30" s="253"/>
      <c r="AD30" s="72" t="s">
        <v>1165</v>
      </c>
      <c r="AE30" s="72" t="str">
        <f t="shared" si="0"/>
        <v/>
      </c>
      <c r="AF30" s="72" t="s">
        <v>1165</v>
      </c>
      <c r="AG30" s="72" t="str">
        <f t="shared" si="2"/>
        <v/>
      </c>
      <c r="AH30" s="73"/>
      <c r="AI30" s="73" t="str">
        <f>IF(AH30&gt;0,(ROUNDUP(AH30/O$29,0)*O$27),"")</f>
        <v/>
      </c>
      <c r="AJ30" s="33" t="str">
        <f t="shared" si="3"/>
        <v/>
      </c>
      <c r="AK30" s="34" t="str">
        <f t="shared" si="4"/>
        <v/>
      </c>
      <c r="AL30" s="35"/>
      <c r="AM30" s="74" t="str">
        <f>IF(G28&gt;0,501/J27,"")</f>
        <v/>
      </c>
      <c r="AN30" s="37" t="str">
        <f t="shared" si="1"/>
        <v/>
      </c>
      <c r="AO30" s="75" t="s">
        <v>43</v>
      </c>
      <c r="AP30" s="38">
        <f ca="1">(I28/J29/J30)*AH30/1000</f>
        <v>0</v>
      </c>
      <c r="AQ30" s="38">
        <f ca="1">AH30*$J$27</f>
        <v>0</v>
      </c>
      <c r="AR30" s="39" t="str">
        <f t="shared" si="5"/>
        <v/>
      </c>
      <c r="AT30" s="31" t="str">
        <f t="shared" si="6"/>
        <v/>
      </c>
      <c r="AU30" s="54"/>
      <c r="BC30"/>
      <c r="BD30"/>
    </row>
    <row r="31" spans="1:56" ht="18" thickTop="1">
      <c r="A31" s="254">
        <v>8</v>
      </c>
      <c r="B31" s="22" t="s">
        <v>35</v>
      </c>
      <c r="C31" s="235" t="str">
        <f ca="1">IF(AND(I32&gt;2855,N32&lt;&gt;"TEXO"),"two part box","")</f>
        <v/>
      </c>
      <c r="D31" s="235"/>
      <c r="E31" s="235"/>
      <c r="F31" s="235"/>
      <c r="G31" s="235"/>
      <c r="H31" s="77"/>
      <c r="I31" s="23" t="s">
        <v>36</v>
      </c>
      <c r="J31" s="236">
        <f ca="1">I32*I34/1000000/(J33*J34)</f>
        <v>3.7599999999999998E-4</v>
      </c>
      <c r="K31" s="237" t="str">
        <f ca="1">IF(AND(baza!$H9="progroup",I32&lt;700), "DOPŁATA DO TEKTURY","")</f>
        <v/>
      </c>
      <c r="L31" s="237"/>
      <c r="M31" s="24">
        <v>0</v>
      </c>
      <c r="N31" s="25" t="str">
        <f ca="1">IF(AND(ISOWA!$B68=1,W31&lt;3),"ISOWA", IF(AND(ETERNA!B68=1,W31=0),"ETERNA",""))</f>
        <v/>
      </c>
      <c r="O31" s="26">
        <f ca="1">Pakowanie!K66</f>
        <v>1</v>
      </c>
      <c r="P31" s="238" t="s">
        <v>53</v>
      </c>
      <c r="Q31" s="238"/>
      <c r="R31" s="27"/>
      <c r="S31" s="28" t="s">
        <v>38</v>
      </c>
      <c r="T31" s="29" t="s">
        <v>39</v>
      </c>
      <c r="U31" s="239" t="s">
        <v>40</v>
      </c>
      <c r="V31" s="239"/>
      <c r="W31" s="30">
        <v>0</v>
      </c>
      <c r="X31" s="31" t="str">
        <f>IF(AH31&gt;0,(IF((AQ31&gt;=500),VLOOKUP($K$34,baza!$A$1:$F$352,3,0),VLOOKUP($K$34,baza!$A$1:$F$352,3,0)+0.1)),"")</f>
        <v/>
      </c>
      <c r="Y31" s="1" t="str">
        <f>IF(AH31&gt;0,(J$31*X31),"")</f>
        <v/>
      </c>
      <c r="Z31" s="240">
        <f ca="1">J31*L32/1000</f>
        <v>1.0302399999999999E-4</v>
      </c>
      <c r="AA31" s="240"/>
      <c r="AB31" s="241" t="s">
        <v>41</v>
      </c>
      <c r="AC31" s="241"/>
      <c r="AD31" s="31" t="s">
        <v>1165</v>
      </c>
      <c r="AE31" s="31" t="str">
        <f t="shared" si="0"/>
        <v/>
      </c>
      <c r="AF31" s="31" t="s">
        <v>1165</v>
      </c>
      <c r="AG31" s="31" t="str">
        <f t="shared" si="2"/>
        <v/>
      </c>
      <c r="AH31" s="32"/>
      <c r="AI31" s="32" t="str">
        <f>IF(AH31&gt;0,(ROUNDUP(AH31/O$33,0)*O$31),"")</f>
        <v/>
      </c>
      <c r="AJ31" s="33" t="str">
        <f t="shared" si="3"/>
        <v/>
      </c>
      <c r="AK31" s="34" t="str">
        <f t="shared" si="4"/>
        <v/>
      </c>
      <c r="AL31" s="35"/>
      <c r="AM31" s="36" t="str">
        <f>IF(G32&gt;0,(301*J33*1000/I32),"")</f>
        <v/>
      </c>
      <c r="AN31" s="37" t="str">
        <f t="shared" si="1"/>
        <v/>
      </c>
      <c r="AO31" s="242"/>
      <c r="AP31" s="38">
        <f ca="1">(I32/J33/J34)*AH31/1000</f>
        <v>0</v>
      </c>
      <c r="AQ31" s="38">
        <f ca="1">AH31*$J$31</f>
        <v>0</v>
      </c>
      <c r="AR31" s="39" t="str">
        <f t="shared" si="5"/>
        <v/>
      </c>
      <c r="AT31" s="31" t="str">
        <f t="shared" si="6"/>
        <v/>
      </c>
      <c r="AU31" s="54"/>
      <c r="BC31"/>
      <c r="BD31"/>
    </row>
    <row r="32" spans="1:56" ht="17.7" customHeight="1">
      <c r="A32" s="254"/>
      <c r="B32" s="243" t="s">
        <v>42</v>
      </c>
      <c r="C32" s="244"/>
      <c r="D32" s="244"/>
      <c r="E32" s="245"/>
      <c r="F32" s="245"/>
      <c r="G32" s="246"/>
      <c r="H32" s="41" t="str">
        <f ca="1">IF(C31="two part box",IF((K32="C"),INDIRECT(B32&amp;".F94"),IF((K32="EB"),INDIRECT(B32&amp;".F95"),IF((K32="BC"),INDIRECT(B32&amp;".F96"),INDIRECT(B32&amp;".F93")))),"")</f>
        <v/>
      </c>
      <c r="I32" s="230" cm="1">
        <f t="array" aca="1" ref="I32" ca="1">_xlfn.LET(
  _xlpm.code, TRIM(SUBSTITUTE(K32,"/","")),
  _xlpm.r, _xlfn.XLOOKUP(_xlpm.code, {"E","B","C","EB","BC"}, {87,87,88,89,90}, ""),
  _xlpm.val, IF(_xlpm.r="",0,N(INDIRECT("'"&amp;B32&amp;"'!F"&amp;_xlpm.r))),
  _xlpm.val*N(J33) + IF(B31="Die cut",25,0)
)</f>
        <v>47</v>
      </c>
      <c r="J32" s="236"/>
      <c r="K32" s="42" t="str">
        <f>VLOOKUP(K34,baza!$A$1:$F$353,6,0)</f>
        <v>B</v>
      </c>
      <c r="L32" s="43">
        <f>VLOOKUP(K34,baza!$A$1:$F$353,5,0)</f>
        <v>274</v>
      </c>
      <c r="M32" s="44" t="s">
        <v>43</v>
      </c>
      <c r="N32" s="45" t="str">
        <f ca="1">IF(AND(N31&lt;&gt;"ISOWA",N31&lt;&gt;"ETERNA"),IF(AND(TEXO!B68=1,W31&lt;4),"TEXO",IF(AND(TEXO!B68=1,W31&lt;4),"TEXO+KLEJ","")),"")</f>
        <v/>
      </c>
      <c r="O32" s="46">
        <f>Pakowanie!H66</f>
        <v>0</v>
      </c>
      <c r="P32" s="47">
        <f>Pakowanie!I66</f>
        <v>0</v>
      </c>
      <c r="Q32" s="48">
        <v>2100</v>
      </c>
      <c r="R32" s="49"/>
      <c r="S32" s="50">
        <f>IF(OR(P31="EURO",   P31="industrial 1200x800",    P31="industrial 1200x1000"),1200,    IF(P31="special 1600x1200",1600,    IF(P31="special 2400x1200",2400,   IF(P31="special 2000x1800",2000,    " "))))</f>
        <v>1200</v>
      </c>
      <c r="T32" s="51">
        <f>IF(OR(P31="EURO",P31="industrial 1200x800"),800,    IF(P31="industrial 1200x1000",1000,     IF(OR(P31="special 1600x1200",P31="special 2400x1200"),1200,   IF(P31="special 2000x1800",1800,  " "))))</f>
        <v>800</v>
      </c>
      <c r="U32" s="59">
        <f ca="1">Pakowanie!C66</f>
        <v>20</v>
      </c>
      <c r="V32" s="59">
        <f ca="1">Pakowanie!D66</f>
        <v>20</v>
      </c>
      <c r="W32" s="247" t="s">
        <v>43</v>
      </c>
      <c r="X32" s="31" t="str">
        <f>IF(AH32&gt;0,(IF((AQ32&gt;=500),VLOOKUP($K$34,baza!$A$1:$F$352,3,0),VLOOKUP($K$34,baza!$A$1:$F$352,3,0)+0.1)),"")</f>
        <v/>
      </c>
      <c r="Y32" s="1" t="str">
        <f>IF(AH32&gt;0,(J$31*X32),"")</f>
        <v/>
      </c>
      <c r="Z32" s="240"/>
      <c r="AA32" s="240"/>
      <c r="AB32" s="241"/>
      <c r="AC32" s="241"/>
      <c r="AD32" s="31" t="s">
        <v>1165</v>
      </c>
      <c r="AE32" s="31" t="str">
        <f t="shared" si="0"/>
        <v/>
      </c>
      <c r="AF32" s="31" t="s">
        <v>1165</v>
      </c>
      <c r="AG32" s="31" t="str">
        <f t="shared" si="2"/>
        <v/>
      </c>
      <c r="AH32" s="32"/>
      <c r="AI32" s="32" t="str">
        <f>IF(AH32&gt;0,(ROUNDUP(AH32/O$33,0)*O$31),"")</f>
        <v/>
      </c>
      <c r="AJ32" s="33" t="str">
        <f t="shared" si="3"/>
        <v/>
      </c>
      <c r="AK32" s="34" t="str">
        <f t="shared" si="4"/>
        <v/>
      </c>
      <c r="AL32" s="35"/>
      <c r="AM32" s="53" t="str">
        <f>IF(G32&gt;0,(501*J33*1000/I32),"")</f>
        <v/>
      </c>
      <c r="AN32" s="37" t="str">
        <f t="shared" si="1"/>
        <v/>
      </c>
      <c r="AO32" s="242"/>
      <c r="AP32" s="38">
        <f ca="1">(I32/J33/J34)*AH32/1000</f>
        <v>0</v>
      </c>
      <c r="AQ32" s="38">
        <f ca="1">AH32*$J$31</f>
        <v>0</v>
      </c>
      <c r="AR32" s="39" t="str">
        <f t="shared" si="5"/>
        <v/>
      </c>
      <c r="AT32" s="31" t="str">
        <f t="shared" si="6"/>
        <v/>
      </c>
      <c r="AU32" s="54"/>
      <c r="AY32" s="55" t="str">
        <f>IF(E32&gt;0,CONCATENATE("_",C32,IF(C32&gt;0,"x",""),E32,"x",G32),"")</f>
        <v/>
      </c>
      <c r="BC32"/>
      <c r="BD32"/>
    </row>
    <row r="33" spans="1:56" ht="17.399999999999999">
      <c r="A33" s="254"/>
      <c r="B33" s="243"/>
      <c r="C33" s="244"/>
      <c r="D33" s="244"/>
      <c r="E33" s="245"/>
      <c r="F33" s="245"/>
      <c r="G33" s="246"/>
      <c r="H33" s="78"/>
      <c r="I33" s="23" t="s">
        <v>44</v>
      </c>
      <c r="J33" s="57">
        <v>1</v>
      </c>
      <c r="K33" s="248" t="str">
        <f>VLOOKUP(K34,baza!$A$1:$F$353,4,0)</f>
        <v>SCHR80/SCHR80/SCHR80</v>
      </c>
      <c r="L33" s="248"/>
      <c r="M33" s="45" t="s">
        <v>43</v>
      </c>
      <c r="N33" s="45" t="str">
        <f ca="1">IF(AND(N31&lt;&gt;"ISOWA",N31&lt;&gt;"ETERNA",N32&lt;&gt;"TEXO",N32&lt;&gt;"TEXO+KLEJ"),IF(AND(KYS!$B60=1,KYS!$C63=1),"KYS",""),"")</f>
        <v/>
      </c>
      <c r="O33" s="249">
        <f>Pakowanie!L66</f>
        <v>0</v>
      </c>
      <c r="P33" s="249"/>
      <c r="Q33" s="249"/>
      <c r="R33" s="58" t="s">
        <v>45</v>
      </c>
      <c r="S33" s="27">
        <v>20</v>
      </c>
      <c r="T33" s="27">
        <v>50</v>
      </c>
      <c r="U33" s="250" t="s">
        <v>46</v>
      </c>
      <c r="V33" s="250"/>
      <c r="W33" s="247"/>
      <c r="X33" s="31" t="str">
        <f>IF(AH33&gt;0,(IF((AQ33&gt;=500),VLOOKUP($K$34,baza!$A$1:$F$352,3,0),VLOOKUP($K$34,baza!$A$1:$F$352,3,0)+0.1)),"")</f>
        <v/>
      </c>
      <c r="Y33" s="1" t="str">
        <f>IF(AH33&gt;0,(J$31*X33),"")</f>
        <v/>
      </c>
      <c r="Z33" s="60">
        <f>AH31</f>
        <v>0</v>
      </c>
      <c r="AA33" s="61" t="s">
        <v>47</v>
      </c>
      <c r="AB33" s="62">
        <f ca="1">AH31*Z31</f>
        <v>0</v>
      </c>
      <c r="AC33" s="63" t="s">
        <v>48</v>
      </c>
      <c r="AD33" s="31" t="s">
        <v>1165</v>
      </c>
      <c r="AE33" s="31" t="str">
        <f t="shared" si="0"/>
        <v/>
      </c>
      <c r="AF33" s="31" t="s">
        <v>1165</v>
      </c>
      <c r="AG33" s="31" t="str">
        <f t="shared" si="2"/>
        <v/>
      </c>
      <c r="AH33" s="32"/>
      <c r="AI33" s="32" t="str">
        <f>IF(AH33&gt;0,(ROUNDUP(AH33/O$33,0)*O$31),"")</f>
        <v/>
      </c>
      <c r="AJ33" s="33" t="str">
        <f t="shared" si="3"/>
        <v/>
      </c>
      <c r="AK33" s="34" t="str">
        <f t="shared" si="4"/>
        <v/>
      </c>
      <c r="AL33" s="35"/>
      <c r="AM33" s="64" t="str">
        <f>IF(G32&gt;0,201/J31,"")</f>
        <v/>
      </c>
      <c r="AN33" s="37" t="str">
        <f t="shared" si="1"/>
        <v/>
      </c>
      <c r="AO33" s="242"/>
      <c r="AP33" s="38">
        <f ca="1">(I32/J33/J34)*AH33/1000</f>
        <v>0</v>
      </c>
      <c r="AQ33" s="38">
        <f ca="1">AH33*$J$31</f>
        <v>0</v>
      </c>
      <c r="AR33" s="39" t="str">
        <f t="shared" si="5"/>
        <v/>
      </c>
      <c r="AT33" s="31" t="str">
        <f t="shared" si="6"/>
        <v/>
      </c>
      <c r="AU33" s="54"/>
      <c r="BC33"/>
      <c r="BD33"/>
    </row>
    <row r="34" spans="1:56" ht="18" thickBot="1">
      <c r="A34" s="254"/>
      <c r="B34" s="76"/>
      <c r="C34" s="251" t="s">
        <v>1165</v>
      </c>
      <c r="D34" s="251"/>
      <c r="E34" s="251"/>
      <c r="F34" s="251"/>
      <c r="G34" s="66"/>
      <c r="H34" s="67" t="str">
        <f ca="1">IF(C31="two part box",I34,"")</f>
        <v/>
      </c>
      <c r="I34" s="230" cm="1">
        <f t="array" aca="1" ref="I34" ca="1">_xlfn.LET(
  _xlpm.code, TRIM(SUBSTITUTE(K32,"/","")),
  _xlpm.r, _xlfn.XLOOKUP(_xlpm.code,{"E","B","C","EB","BC"},{87,87,88,89,90},""),
  _xlpm.val, IF(_xlpm.r="",0,N(INDIRECT("'"&amp;B32&amp;"'!G"&amp;_xlpm.r))),
  _xlpm.val*N(J34) + IF(B31="Die cut",25,0)
)</f>
        <v>8</v>
      </c>
      <c r="J34" s="68">
        <v>1</v>
      </c>
      <c r="K34" s="252" t="s">
        <v>54</v>
      </c>
      <c r="L34" s="252"/>
      <c r="M34" s="69"/>
      <c r="N34" s="69" t="str">
        <f ca="1">IF(OR(AND(TEXO!B68=2,W31&lt;4),AND(ETERNA!H68=1,ETERNA!H71=1)),"+KLEJ RĘCZNE","")</f>
        <v/>
      </c>
      <c r="O34" s="249"/>
      <c r="P34" s="249"/>
      <c r="Q34" s="249"/>
      <c r="R34" s="58" t="s">
        <v>51</v>
      </c>
      <c r="S34" s="50">
        <f>S32+S33*2</f>
        <v>1240</v>
      </c>
      <c r="T34" s="50">
        <f>T32+T33*2</f>
        <v>900</v>
      </c>
      <c r="U34" s="70">
        <f ca="1">IF(O32=Pakowanie!Q68,Pakowanie!K68,Pakowanie!K69)</f>
        <v>62</v>
      </c>
      <c r="V34" s="70">
        <f ca="1">IF(Pakowanie!K68=U34,Pakowanie!L68,Pakowanie!L69)</f>
        <v>45</v>
      </c>
      <c r="W34" s="247"/>
      <c r="X34" s="31" t="str">
        <f>IF(AH34&gt;0,(IF((AQ34&gt;=500),VLOOKUP($K$34,baza!$A$1:$F$352,3,0),VLOOKUP($K$34,baza!$A$1:$F$352,3,0)+0.1)),"")</f>
        <v/>
      </c>
      <c r="Y34" s="1" t="str">
        <f>IF(AH34&gt;0,(J$31*X34),"")</f>
        <v/>
      </c>
      <c r="Z34" s="253"/>
      <c r="AA34" s="253"/>
      <c r="AB34" s="253"/>
      <c r="AC34" s="253"/>
      <c r="AD34" s="72" t="s">
        <v>1165</v>
      </c>
      <c r="AE34" s="72" t="str">
        <f t="shared" si="0"/>
        <v/>
      </c>
      <c r="AF34" s="72" t="s">
        <v>1165</v>
      </c>
      <c r="AG34" s="72" t="str">
        <f t="shared" si="2"/>
        <v/>
      </c>
      <c r="AH34" s="73"/>
      <c r="AI34" s="73" t="str">
        <f>IF(AH34&gt;0,(ROUNDUP(AH34/O$33,0)*O$31),"")</f>
        <v/>
      </c>
      <c r="AJ34" s="33" t="str">
        <f t="shared" si="3"/>
        <v/>
      </c>
      <c r="AK34" s="34" t="str">
        <f t="shared" si="4"/>
        <v/>
      </c>
      <c r="AL34" s="35"/>
      <c r="AM34" s="74" t="str">
        <f>IF(G32&gt;0,501/J31,"")</f>
        <v/>
      </c>
      <c r="AN34" s="37" t="str">
        <f t="shared" si="1"/>
        <v/>
      </c>
      <c r="AO34" s="75" t="s">
        <v>43</v>
      </c>
      <c r="AP34" s="38">
        <f ca="1">(I32/J33/J34)*AH34/1000</f>
        <v>0</v>
      </c>
      <c r="AQ34" s="38">
        <f ca="1">AH34*$J$31</f>
        <v>0</v>
      </c>
      <c r="AR34" s="39" t="str">
        <f t="shared" si="5"/>
        <v/>
      </c>
      <c r="AT34" s="31" t="str">
        <f t="shared" si="6"/>
        <v/>
      </c>
      <c r="AU34" s="54"/>
      <c r="BC34"/>
      <c r="BD34"/>
    </row>
    <row r="35" spans="1:56" ht="18" thickTop="1">
      <c r="A35" s="254">
        <v>9</v>
      </c>
      <c r="B35" s="22" t="s">
        <v>35</v>
      </c>
      <c r="C35" s="235" t="str">
        <f ca="1">IF(AND(I36&gt;2855,N36&lt;&gt;"TEXO"),"two part box","")</f>
        <v/>
      </c>
      <c r="D35" s="235"/>
      <c r="E35" s="235"/>
      <c r="F35" s="235"/>
      <c r="G35" s="235"/>
      <c r="H35" s="77"/>
      <c r="I35" s="23" t="s">
        <v>36</v>
      </c>
      <c r="J35" s="236">
        <f ca="1">I36*I38/1000000/(J37*J38)</f>
        <v>3.7599999999999998E-4</v>
      </c>
      <c r="K35" s="237" t="str">
        <f ca="1">IF(AND(baza!$H10="progroup",I36&lt;700), "DOPŁATA DO TEKTURY","")</f>
        <v/>
      </c>
      <c r="L35" s="237"/>
      <c r="M35" s="24">
        <v>0</v>
      </c>
      <c r="N35" s="25" t="str">
        <f ca="1">IF(AND(ISOWA!$B77=1,W35&lt;3),"ISOWA", IF(AND(ETERNA!B77=1,W35=0),"ETERNA",""))</f>
        <v/>
      </c>
      <c r="O35" s="26">
        <f ca="1">Pakowanie!K75</f>
        <v>1</v>
      </c>
      <c r="P35" s="238" t="s">
        <v>53</v>
      </c>
      <c r="Q35" s="238"/>
      <c r="R35" s="27"/>
      <c r="S35" s="28" t="s">
        <v>38</v>
      </c>
      <c r="T35" s="29" t="s">
        <v>39</v>
      </c>
      <c r="U35" s="239" t="s">
        <v>40</v>
      </c>
      <c r="V35" s="239"/>
      <c r="W35" s="30">
        <v>0</v>
      </c>
      <c r="X35" s="31" t="str">
        <f>IF(AH35&gt;0,(IF((AQ35&gt;=500),VLOOKUP($K$38,baza!$A$1:$F$352,3,0),VLOOKUP($K$38,baza!$A$1:$F$352,3,0)+0.1)),"")</f>
        <v/>
      </c>
      <c r="Y35" s="1" t="str">
        <f>IF(AH35&gt;0,(J$35*X35),"")</f>
        <v/>
      </c>
      <c r="Z35" s="240">
        <f ca="1">J35*L36/1000</f>
        <v>1.0302399999999999E-4</v>
      </c>
      <c r="AA35" s="240"/>
      <c r="AB35" s="241" t="s">
        <v>41</v>
      </c>
      <c r="AC35" s="241"/>
      <c r="AD35" s="31" t="s">
        <v>1165</v>
      </c>
      <c r="AE35" s="31" t="str">
        <f t="shared" si="0"/>
        <v/>
      </c>
      <c r="AF35" s="31" t="s">
        <v>1165</v>
      </c>
      <c r="AG35" s="31" t="str">
        <f t="shared" si="2"/>
        <v/>
      </c>
      <c r="AH35" s="32"/>
      <c r="AI35" s="32" t="str">
        <f>IF(AH35&gt;0,(ROUNDUP(AH35/O$37,0)*O$35),"")</f>
        <v/>
      </c>
      <c r="AJ35" s="33" t="str">
        <f t="shared" si="3"/>
        <v/>
      </c>
      <c r="AK35" s="34" t="str">
        <f t="shared" si="4"/>
        <v/>
      </c>
      <c r="AL35" s="35"/>
      <c r="AM35" s="36" t="str">
        <f>IF(G36&gt;0,(301*J37*1000/I36),"")</f>
        <v/>
      </c>
      <c r="AN35" s="37" t="str">
        <f t="shared" si="1"/>
        <v/>
      </c>
      <c r="AO35" s="242"/>
      <c r="AP35" s="38">
        <f ca="1">(I36/J37/J38)*AH35/1000</f>
        <v>0</v>
      </c>
      <c r="AQ35" s="38">
        <f ca="1">AH35*$J$35</f>
        <v>0</v>
      </c>
      <c r="AR35" s="39" t="str">
        <f t="shared" si="5"/>
        <v/>
      </c>
      <c r="AT35" s="31" t="str">
        <f t="shared" si="6"/>
        <v/>
      </c>
      <c r="AU35" s="54"/>
      <c r="BC35"/>
      <c r="BD35"/>
    </row>
    <row r="36" spans="1:56" ht="17.7" customHeight="1">
      <c r="A36" s="254"/>
      <c r="B36" s="243" t="s">
        <v>42</v>
      </c>
      <c r="C36" s="244"/>
      <c r="D36" s="244"/>
      <c r="E36" s="245"/>
      <c r="F36" s="245"/>
      <c r="G36" s="246"/>
      <c r="H36" s="41" t="str">
        <f ca="1">IF(C35="two part box",IF((K36="C"),INDIRECT(B36&amp;".F106"),IF((K36="EB"),INDIRECT(B36&amp;".F107"),IF((K36="BC"),INDIRECT(B36&amp;".F108"),INDIRECT(B36&amp;".F105")))),"")</f>
        <v/>
      </c>
      <c r="I36" s="230" cm="1">
        <f t="array" aca="1" ref="I36" ca="1">_xlfn.LET(
  _xlpm.code, TRIM(SUBSTITUTE(K36,"/","")),
  _xlpm.r, _xlfn.XLOOKUP(_xlpm.code, {"E","B","C","EB","BC"}, {99,99,100,101,102}, ""),
  _xlpm.val, IF(_xlpm.r="",0,N(INDIRECT("'"&amp;B36&amp;"'!F"&amp;_xlpm.r))),
  _xlpm.val*N(J37) + IF(B35="Die cut",25,0)
)</f>
        <v>47</v>
      </c>
      <c r="J36" s="236"/>
      <c r="K36" s="42" t="str">
        <f>VLOOKUP(K38,baza!$A$1:$F$353,6,0)</f>
        <v>B</v>
      </c>
      <c r="L36" s="43">
        <f>VLOOKUP(K38,baza!$A$1:$F$353,5,0)</f>
        <v>274</v>
      </c>
      <c r="M36" s="44" t="s">
        <v>43</v>
      </c>
      <c r="N36" s="45" t="str">
        <f ca="1">IF(AND(N35&lt;&gt;"ISOWA",N35&lt;&gt;"ETERNA"),IF(AND(TEXO!B77=1,W35&lt;4),"TEXO",IF(AND(TEXO!B77=1,W35&lt;4),"TEXO+KLEJ","")),"")</f>
        <v/>
      </c>
      <c r="O36" s="46">
        <f>Pakowanie!H75</f>
        <v>0</v>
      </c>
      <c r="P36" s="47">
        <f>Pakowanie!I75</f>
        <v>0</v>
      </c>
      <c r="Q36" s="48">
        <v>2100</v>
      </c>
      <c r="R36" s="49"/>
      <c r="S36" s="50">
        <f>IF(OR(P35="EURO",   P35="industrial 1200x800",    P35="industrial 1200x1000"),1200,    IF(P35="special 1600x1200",1600,    IF(P35="special 2400x1200",2400,   IF(P35="special 2000x1800",2000,    " "))))</f>
        <v>1200</v>
      </c>
      <c r="T36" s="51">
        <f>IF(OR(P35="EURO",P35="industrial 1200x800"),800,    IF(P35="industrial 1200x1000",1000,     IF(OR(P35="special 1600x1200",P35="special 2400x1200"),1200,   IF(P35="special 2000x1800",1800,  " "))))</f>
        <v>800</v>
      </c>
      <c r="U36" s="59">
        <f ca="1">Pakowanie!C75</f>
        <v>20</v>
      </c>
      <c r="V36" s="59">
        <f ca="1">Pakowanie!D75</f>
        <v>20</v>
      </c>
      <c r="W36" s="247" t="s">
        <v>43</v>
      </c>
      <c r="X36" s="31" t="str">
        <f>IF(AH36&gt;0,(IF((AQ36&gt;=500),VLOOKUP($K$38,baza!$A$1:$F$352,3,0),VLOOKUP($K$38,baza!$A$1:$F$352,3,0)+0.1)),"")</f>
        <v/>
      </c>
      <c r="Y36" s="1" t="str">
        <f>IF(AH36&gt;0,(J$35*X36),"")</f>
        <v/>
      </c>
      <c r="Z36" s="240"/>
      <c r="AA36" s="240"/>
      <c r="AB36" s="241"/>
      <c r="AC36" s="241"/>
      <c r="AD36" s="31" t="s">
        <v>1165</v>
      </c>
      <c r="AE36" s="31" t="str">
        <f t="shared" si="0"/>
        <v/>
      </c>
      <c r="AF36" s="31" t="s">
        <v>1165</v>
      </c>
      <c r="AG36" s="31" t="str">
        <f t="shared" si="2"/>
        <v/>
      </c>
      <c r="AH36" s="32"/>
      <c r="AI36" s="32" t="str">
        <f>IF(AH36&gt;0,(ROUNDUP(AH36/O$37,0)*O$35),"")</f>
        <v/>
      </c>
      <c r="AJ36" s="33" t="str">
        <f t="shared" si="3"/>
        <v/>
      </c>
      <c r="AK36" s="34" t="str">
        <f t="shared" si="4"/>
        <v/>
      </c>
      <c r="AL36" s="35"/>
      <c r="AM36" s="53" t="str">
        <f>IF(G36&gt;0,(501*J37*1000/I36),"")</f>
        <v/>
      </c>
      <c r="AN36" s="37" t="str">
        <f t="shared" si="1"/>
        <v/>
      </c>
      <c r="AO36" s="242"/>
      <c r="AP36" s="38">
        <f ca="1">(I36/J37/J38)*AH36/1000</f>
        <v>0</v>
      </c>
      <c r="AQ36" s="38">
        <f ca="1">AH36*$J$35</f>
        <v>0</v>
      </c>
      <c r="AR36" s="39" t="str">
        <f t="shared" si="5"/>
        <v/>
      </c>
      <c r="AT36" s="31" t="str">
        <f t="shared" si="6"/>
        <v/>
      </c>
      <c r="AU36" s="54"/>
      <c r="AY36" s="55" t="str">
        <f>IF(E36&gt;0,CONCATENATE("_",C36,IF(C36&gt;0,"x",""),E36,"x",G36),"")</f>
        <v/>
      </c>
      <c r="BC36"/>
      <c r="BD36"/>
    </row>
    <row r="37" spans="1:56" ht="17.399999999999999">
      <c r="A37" s="254"/>
      <c r="B37" s="243"/>
      <c r="C37" s="244"/>
      <c r="D37" s="244"/>
      <c r="E37" s="245"/>
      <c r="F37" s="245"/>
      <c r="G37" s="246"/>
      <c r="H37" s="78"/>
      <c r="I37" s="23" t="s">
        <v>44</v>
      </c>
      <c r="J37" s="57">
        <v>1</v>
      </c>
      <c r="K37" s="248" t="str">
        <f>VLOOKUP(K38,baza!$A$1:$F$353,4,0)</f>
        <v>SCHR80/SCHR80/SCHR80</v>
      </c>
      <c r="L37" s="248"/>
      <c r="M37" s="45" t="s">
        <v>43</v>
      </c>
      <c r="N37" s="45" t="str">
        <f ca="1">IF(AND(N35&lt;&gt;"ISOWA",N35&lt;&gt;"ETERNA",N36&lt;&gt;"TEXO",N36&lt;&gt;"TEXO+KLEJ"),IF(AND(KYS!$B68=1,KYS!$C71=1),"KYS",""),"")</f>
        <v/>
      </c>
      <c r="O37" s="249">
        <f>Pakowanie!L75</f>
        <v>0</v>
      </c>
      <c r="P37" s="249"/>
      <c r="Q37" s="249"/>
      <c r="R37" s="58" t="s">
        <v>45</v>
      </c>
      <c r="S37" s="27">
        <v>20</v>
      </c>
      <c r="T37" s="27">
        <v>50</v>
      </c>
      <c r="U37" s="250" t="s">
        <v>46</v>
      </c>
      <c r="V37" s="250"/>
      <c r="W37" s="247"/>
      <c r="X37" s="31" t="str">
        <f>IF(AH37&gt;0,(IF((AQ37&gt;=500),VLOOKUP($K$38,baza!$A$1:$F$352,3,0),VLOOKUP($K$38,baza!$A$1:$F$352,3,0)+0.1)),"")</f>
        <v/>
      </c>
      <c r="Y37" s="1" t="str">
        <f>IF(AH37&gt;0,(J$35*X37),"")</f>
        <v/>
      </c>
      <c r="Z37" s="60">
        <f>AH35</f>
        <v>0</v>
      </c>
      <c r="AA37" s="61" t="s">
        <v>47</v>
      </c>
      <c r="AB37" s="62">
        <f ca="1">AH35*Z35</f>
        <v>0</v>
      </c>
      <c r="AC37" s="63" t="s">
        <v>48</v>
      </c>
      <c r="AD37" s="31" t="s">
        <v>1165</v>
      </c>
      <c r="AE37" s="31" t="str">
        <f t="shared" si="0"/>
        <v/>
      </c>
      <c r="AF37" s="31" t="s">
        <v>1165</v>
      </c>
      <c r="AG37" s="31" t="str">
        <f t="shared" si="2"/>
        <v/>
      </c>
      <c r="AH37" s="32"/>
      <c r="AI37" s="32" t="str">
        <f>IF(AH37&gt;0,(ROUNDUP(AH37/O$37,0)*O$35),"")</f>
        <v/>
      </c>
      <c r="AJ37" s="33" t="str">
        <f t="shared" si="3"/>
        <v/>
      </c>
      <c r="AK37" s="34" t="str">
        <f t="shared" si="4"/>
        <v/>
      </c>
      <c r="AL37" s="35"/>
      <c r="AM37" s="64" t="str">
        <f>IF(G36&gt;0,201/J35,"")</f>
        <v/>
      </c>
      <c r="AN37" s="37" t="str">
        <f t="shared" si="1"/>
        <v/>
      </c>
      <c r="AO37" s="242"/>
      <c r="AP37" s="38">
        <f ca="1">(I36/J37/J38)*AH37/1000</f>
        <v>0</v>
      </c>
      <c r="AQ37" s="38">
        <f ca="1">AH37*$J$35</f>
        <v>0</v>
      </c>
      <c r="AR37" s="39" t="str">
        <f t="shared" si="5"/>
        <v/>
      </c>
      <c r="AT37" s="31" t="str">
        <f t="shared" si="6"/>
        <v/>
      </c>
      <c r="AU37" s="54"/>
      <c r="BC37"/>
      <c r="BD37"/>
    </row>
    <row r="38" spans="1:56" ht="18" thickBot="1">
      <c r="A38" s="254"/>
      <c r="B38" s="76"/>
      <c r="C38" s="251" t="s">
        <v>1165</v>
      </c>
      <c r="D38" s="251"/>
      <c r="E38" s="251"/>
      <c r="F38" s="251"/>
      <c r="G38" s="66"/>
      <c r="H38" s="67" t="str">
        <f ca="1">IF(C35="two part box",I38,"")</f>
        <v/>
      </c>
      <c r="I38" s="230" cm="1">
        <f t="array" aca="1" ref="I38" ca="1">_xlfn.LET(
  _xlpm.code, TRIM(SUBSTITUTE(K36,"/","")),
  _xlpm.r, _xlfn.XLOOKUP(_xlpm.code,{"E","B","C","EB","BC"},{99,99,100,101,102},""),
  _xlpm.val, IF(_xlpm.r="",0,N(INDIRECT("'"&amp;B36&amp;"'!G"&amp;_xlpm.r))),
  _xlpm.val*N(J38) + IF(B35="Die cut",25,0)
)</f>
        <v>8</v>
      </c>
      <c r="J38" s="68">
        <v>1</v>
      </c>
      <c r="K38" s="252" t="s">
        <v>54</v>
      </c>
      <c r="L38" s="252"/>
      <c r="M38" s="69"/>
      <c r="N38" s="69" t="str">
        <f ca="1">IF(OR(AND(TEXO!B77=2,W35&lt;4),AND(ETERNA!H77=1,ETERNA!H80=1)),"+KLEJ RĘCZNE","")</f>
        <v/>
      </c>
      <c r="O38" s="249"/>
      <c r="P38" s="249"/>
      <c r="Q38" s="249"/>
      <c r="R38" s="58" t="s">
        <v>51</v>
      </c>
      <c r="S38" s="50">
        <f>S36+S37*2</f>
        <v>1240</v>
      </c>
      <c r="T38" s="50">
        <f>T36+T37*2</f>
        <v>900</v>
      </c>
      <c r="U38" s="70">
        <f ca="1">IF(O36=Pakowanie!Q77,Pakowanie!K77,Pakowanie!K78)</f>
        <v>62</v>
      </c>
      <c r="V38" s="70">
        <f ca="1">IF(Pakowanie!K77=U38,Pakowanie!L77,Pakowanie!L78)</f>
        <v>45</v>
      </c>
      <c r="W38" s="247"/>
      <c r="X38" s="31" t="str">
        <f>IF(AH38&gt;0,(IF((AQ38&gt;=500),VLOOKUP($K$38,baza!$A$1:$F$352,3,0),VLOOKUP($K$38,baza!$A$1:$F$352,3,0)+0.1)),"")</f>
        <v/>
      </c>
      <c r="Y38" s="1" t="str">
        <f>IF(AH38&gt;0,(J$35*X38),"")</f>
        <v/>
      </c>
      <c r="Z38" s="253"/>
      <c r="AA38" s="253"/>
      <c r="AB38" s="253"/>
      <c r="AC38" s="253"/>
      <c r="AD38" s="72" t="s">
        <v>1165</v>
      </c>
      <c r="AE38" s="72" t="str">
        <f t="shared" si="0"/>
        <v/>
      </c>
      <c r="AF38" s="72" t="s">
        <v>1165</v>
      </c>
      <c r="AG38" s="72" t="str">
        <f t="shared" si="2"/>
        <v/>
      </c>
      <c r="AH38" s="73"/>
      <c r="AI38" s="73" t="str">
        <f>IF(AH38&gt;0,(ROUNDUP(AH38/O$37,0)*O$35),"")</f>
        <v/>
      </c>
      <c r="AJ38" s="33" t="str">
        <f t="shared" si="3"/>
        <v/>
      </c>
      <c r="AK38" s="34" t="str">
        <f t="shared" si="4"/>
        <v/>
      </c>
      <c r="AL38" s="35"/>
      <c r="AM38" s="74" t="str">
        <f>IF(G36&gt;0,501/J35,"")</f>
        <v/>
      </c>
      <c r="AN38" s="37" t="str">
        <f t="shared" si="1"/>
        <v/>
      </c>
      <c r="AO38" s="75" t="s">
        <v>43</v>
      </c>
      <c r="AP38" s="38">
        <f ca="1">(I36/J37/J38)*AH38/1000</f>
        <v>0</v>
      </c>
      <c r="AQ38" s="38">
        <f ca="1">AH38*$J$35</f>
        <v>0</v>
      </c>
      <c r="AR38" s="39" t="str">
        <f t="shared" si="5"/>
        <v/>
      </c>
      <c r="AT38" s="31" t="str">
        <f t="shared" si="6"/>
        <v/>
      </c>
      <c r="AU38" s="54"/>
      <c r="BC38"/>
      <c r="BD38"/>
    </row>
    <row r="39" spans="1:56" ht="18" thickTop="1">
      <c r="A39" s="234">
        <v>10</v>
      </c>
      <c r="B39" s="22" t="s">
        <v>35</v>
      </c>
      <c r="C39" s="235" t="str">
        <f ca="1">IF(AND(I40&gt;2855,N40&lt;&gt;"TEXO"),"two part box","")</f>
        <v/>
      </c>
      <c r="D39" s="235"/>
      <c r="E39" s="235"/>
      <c r="F39" s="235"/>
      <c r="G39" s="235"/>
      <c r="H39" s="77"/>
      <c r="I39" s="23" t="s">
        <v>36</v>
      </c>
      <c r="J39" s="236">
        <f ca="1">I40*I42/1000000/(J41*J42)</f>
        <v>3.7599999999999998E-4</v>
      </c>
      <c r="K39" s="237" t="str">
        <f ca="1">IF(AND(baza!$H11="progroup",I40&lt;700), "DOPŁATA DO TEKTURY","")</f>
        <v/>
      </c>
      <c r="L39" s="237"/>
      <c r="M39" s="24">
        <v>0</v>
      </c>
      <c r="N39" s="25" t="str">
        <f ca="1">IF(AND(ISOWA!$B86=1,W39&lt;3),"ISOWA", IF(AND(ETERNA!B86=1,W39=0),"ETERNA",""))</f>
        <v/>
      </c>
      <c r="O39" s="26">
        <f ca="1">Pakowanie!K84</f>
        <v>1</v>
      </c>
      <c r="P39" s="238" t="s">
        <v>53</v>
      </c>
      <c r="Q39" s="238"/>
      <c r="R39" s="27"/>
      <c r="S39" s="28" t="s">
        <v>38</v>
      </c>
      <c r="T39" s="29" t="s">
        <v>39</v>
      </c>
      <c r="U39" s="239" t="s">
        <v>40</v>
      </c>
      <c r="V39" s="239"/>
      <c r="W39" s="30">
        <v>0</v>
      </c>
      <c r="X39" s="31" t="str">
        <f>IF(AH39&gt;0,(IF((AQ39&gt;=500),VLOOKUP($K$42,baza!$A$1:$F$352,3,0),VLOOKUP($K$42,baza!$A$1:$F$352,3,0)+0.1)),"")</f>
        <v/>
      </c>
      <c r="Y39" s="1" t="str">
        <f>IF(AH39&gt;0,(J$39*X39),"")</f>
        <v/>
      </c>
      <c r="Z39" s="240">
        <f ca="1">J39*L40/1000</f>
        <v>1.0302399999999999E-4</v>
      </c>
      <c r="AA39" s="240"/>
      <c r="AB39" s="241" t="s">
        <v>41</v>
      </c>
      <c r="AC39" s="241"/>
      <c r="AD39" s="31" t="s">
        <v>1165</v>
      </c>
      <c r="AE39" s="31" t="str">
        <f t="shared" si="0"/>
        <v/>
      </c>
      <c r="AF39" s="31" t="s">
        <v>1165</v>
      </c>
      <c r="AG39" s="31" t="str">
        <f t="shared" si="2"/>
        <v/>
      </c>
      <c r="AH39" s="32"/>
      <c r="AI39" s="32" t="str">
        <f>IF(AH39&gt;0,(ROUNDUP(AH39/O$41,0)*O$39),"")</f>
        <v/>
      </c>
      <c r="AJ39" s="33" t="str">
        <f t="shared" si="3"/>
        <v/>
      </c>
      <c r="AK39" s="34" t="str">
        <f t="shared" si="4"/>
        <v/>
      </c>
      <c r="AL39" s="35"/>
      <c r="AM39" s="36" t="str">
        <f>IF(G40&gt;0,(301*J41*1000/I40),"")</f>
        <v/>
      </c>
      <c r="AN39" s="37" t="str">
        <f t="shared" si="1"/>
        <v/>
      </c>
      <c r="AO39" s="242"/>
      <c r="AP39" s="38">
        <f ca="1">(I40/J41/J42)*AH39/1000</f>
        <v>0</v>
      </c>
      <c r="AQ39" s="38">
        <f ca="1">AH39*$J$39</f>
        <v>0</v>
      </c>
      <c r="AR39" s="39" t="str">
        <f t="shared" si="5"/>
        <v/>
      </c>
      <c r="AT39" s="31" t="str">
        <f t="shared" si="6"/>
        <v/>
      </c>
      <c r="AU39" s="54"/>
      <c r="BC39"/>
      <c r="BD39"/>
    </row>
    <row r="40" spans="1:56" ht="17.7" customHeight="1">
      <c r="A40" s="234"/>
      <c r="B40" s="243" t="s">
        <v>42</v>
      </c>
      <c r="C40" s="244"/>
      <c r="D40" s="244"/>
      <c r="E40" s="245"/>
      <c r="F40" s="245"/>
      <c r="G40" s="246"/>
      <c r="H40" s="41" t="str">
        <f ca="1">IF(C39="two part box",IF((K40="C"),INDIRECT(B40&amp;".F118"),IF((K40="EB"),INDIRECT(B40&amp;".F119"),IF((K40="BC"),INDIRECT(B40&amp;".F120"),INDIRECT(B40&amp;".F117")))),"")</f>
        <v/>
      </c>
      <c r="I40" s="230" cm="1">
        <f t="array" aca="1" ref="I40" ca="1">_xlfn.LET(
  _xlpm.code, TRIM(SUBSTITUTE(K40,"/","")),
  _xlpm.r, _xlfn.XLOOKUP(_xlpm.code, {"E","B","C","EB","BC"}, {111,111,112,113,114}, ""),
  _xlpm.val, IF(_xlpm.r="",0,N(INDIRECT("'"&amp;B40&amp;"'!F"&amp;_xlpm.r))),
  _xlpm.val*N(J41) + IF(B39="Die cut",25,0)
)</f>
        <v>47</v>
      </c>
      <c r="J40" s="236"/>
      <c r="K40" s="42" t="str">
        <f>VLOOKUP(K42,baza!$A$1:$F$353,6,0)</f>
        <v>B</v>
      </c>
      <c r="L40" s="43">
        <f>VLOOKUP(K42,baza!$A$1:$F$353,5,0)</f>
        <v>274</v>
      </c>
      <c r="M40" s="44" t="s">
        <v>43</v>
      </c>
      <c r="N40" s="45" t="str">
        <f ca="1">IF(AND(N39&lt;&gt;"ISOWA",N39&lt;&gt;"ETERNA"),IF(AND(TEXO!B86=1,W39&lt;4),"TEXO",IF(AND(TEXO!B86=1,W39&lt;4),"TEXO+KLEJ","")),"")</f>
        <v/>
      </c>
      <c r="O40" s="46">
        <f>Pakowanie!H84</f>
        <v>0</v>
      </c>
      <c r="P40" s="47">
        <f>Pakowanie!I84</f>
        <v>0</v>
      </c>
      <c r="Q40" s="48">
        <v>2100</v>
      </c>
      <c r="R40" s="49"/>
      <c r="S40" s="50">
        <f>IF(OR(P39="EURO",   P39="industrial 1200x800",    P39="industrial 1200x1000"),1200,    IF(P39="special 1600x1200",1600,    IF(P39="special 2400x1200",2400,   IF(P39="special 2000x1800",2000,    " "))))</f>
        <v>1200</v>
      </c>
      <c r="T40" s="51">
        <f>IF(OR(P39="EURO",P39="industrial 1200x800"),800,    IF(P39="industrial 1200x1000",1000,     IF(OR(P39="special 1600x1200",P39="special 2400x1200"),1200,   IF(P39="special 2000x1800",1800,  " "))))</f>
        <v>800</v>
      </c>
      <c r="U40" s="59">
        <f ca="1">Pakowanie!C84</f>
        <v>20</v>
      </c>
      <c r="V40" s="59">
        <f ca="1">Pakowanie!D84</f>
        <v>20</v>
      </c>
      <c r="W40" s="247" t="s">
        <v>43</v>
      </c>
      <c r="X40" s="31" t="str">
        <f>IF(AH40&gt;0,(IF((AQ40&gt;=500),VLOOKUP($K$42,baza!$A$1:$F$352,3,0),VLOOKUP($K$42,baza!$A$1:$F$352,3,0)+0.1)),"")</f>
        <v/>
      </c>
      <c r="Y40" s="1" t="str">
        <f>IF(AH40&gt;0,(J$39*X40),"")</f>
        <v/>
      </c>
      <c r="Z40" s="240"/>
      <c r="AA40" s="240"/>
      <c r="AB40" s="241"/>
      <c r="AC40" s="241"/>
      <c r="AD40" s="31" t="s">
        <v>1165</v>
      </c>
      <c r="AE40" s="31" t="str">
        <f t="shared" si="0"/>
        <v/>
      </c>
      <c r="AF40" s="31" t="s">
        <v>1165</v>
      </c>
      <c r="AG40" s="31" t="str">
        <f t="shared" si="2"/>
        <v/>
      </c>
      <c r="AH40" s="32"/>
      <c r="AI40" s="32" t="str">
        <f>IF(AH40&gt;0,(ROUNDUP(AH40/O$41,0)*O$39),"")</f>
        <v/>
      </c>
      <c r="AJ40" s="33" t="str">
        <f t="shared" si="3"/>
        <v/>
      </c>
      <c r="AK40" s="34" t="str">
        <f t="shared" si="4"/>
        <v/>
      </c>
      <c r="AL40" s="35"/>
      <c r="AM40" s="53" t="str">
        <f>IF(G40&gt;0,(501*J41*1000/I40),"")</f>
        <v/>
      </c>
      <c r="AN40" s="37" t="str">
        <f t="shared" si="1"/>
        <v/>
      </c>
      <c r="AO40" s="242"/>
      <c r="AP40" s="38">
        <f ca="1">(I40/J41/J42)*AH40/1000</f>
        <v>0</v>
      </c>
      <c r="AQ40" s="38">
        <f ca="1">AH40*$J$39</f>
        <v>0</v>
      </c>
      <c r="AR40" s="39" t="str">
        <f t="shared" si="5"/>
        <v/>
      </c>
      <c r="AT40" s="31" t="str">
        <f t="shared" si="6"/>
        <v/>
      </c>
      <c r="AU40" s="54"/>
      <c r="AY40" s="55" t="str">
        <f>IF(E40&gt;0,CONCATENATE("_",C40,IF(C40&gt;0,"x",""),E40,"x",G40),"")</f>
        <v/>
      </c>
      <c r="BC40"/>
      <c r="BD40"/>
    </row>
    <row r="41" spans="1:56" ht="17.399999999999999">
      <c r="A41" s="234"/>
      <c r="B41" s="243"/>
      <c r="C41" s="244"/>
      <c r="D41" s="244"/>
      <c r="E41" s="245"/>
      <c r="F41" s="245"/>
      <c r="G41" s="246"/>
      <c r="H41" s="78"/>
      <c r="I41" s="23" t="s">
        <v>44</v>
      </c>
      <c r="J41" s="57">
        <v>1</v>
      </c>
      <c r="K41" s="248" t="str">
        <f>VLOOKUP(K42,baza!$A$1:$F$353,4,0)</f>
        <v>SCHR80/SCHR80/SCHR80</v>
      </c>
      <c r="L41" s="248"/>
      <c r="M41" s="45" t="s">
        <v>43</v>
      </c>
      <c r="N41" s="45" t="str">
        <f ca="1">IF(AND(N39&lt;&gt;"ISOWA",N39&lt;&gt;"ETERNA",N40&lt;&gt;"TEXO",N40&lt;&gt;"TEXO+KLEJ"),IF(AND(KYS!$B76=1,KYS!$C79=1),"KYS",""),"")</f>
        <v/>
      </c>
      <c r="O41" s="249">
        <f>Pakowanie!L84</f>
        <v>0</v>
      </c>
      <c r="P41" s="249"/>
      <c r="Q41" s="249"/>
      <c r="R41" s="58" t="s">
        <v>45</v>
      </c>
      <c r="S41" s="27">
        <v>20</v>
      </c>
      <c r="T41" s="27">
        <v>50</v>
      </c>
      <c r="U41" s="250" t="s">
        <v>46</v>
      </c>
      <c r="V41" s="250"/>
      <c r="W41" s="247"/>
      <c r="X41" s="31" t="str">
        <f>IF(AH41&gt;0,(IF((AQ41&gt;=500),VLOOKUP($K$42,baza!$A$1:$F$352,3,0),VLOOKUP($K$42,baza!$A$1:$F$352,3,0)+0.1)),"")</f>
        <v/>
      </c>
      <c r="Y41" s="1" t="str">
        <f>IF(AH41&gt;0,(J$39*X41),"")</f>
        <v/>
      </c>
      <c r="Z41" s="60">
        <f>AH39</f>
        <v>0</v>
      </c>
      <c r="AA41" s="61" t="s">
        <v>47</v>
      </c>
      <c r="AB41" s="62">
        <f ca="1">AH39*Z39</f>
        <v>0</v>
      </c>
      <c r="AC41" s="63" t="s">
        <v>48</v>
      </c>
      <c r="AD41" s="31" t="s">
        <v>1165</v>
      </c>
      <c r="AE41" s="31" t="str">
        <f t="shared" si="0"/>
        <v/>
      </c>
      <c r="AF41" s="31" t="s">
        <v>1165</v>
      </c>
      <c r="AG41" s="31" t="str">
        <f t="shared" si="2"/>
        <v/>
      </c>
      <c r="AH41" s="32"/>
      <c r="AI41" s="32" t="str">
        <f>IF(AH41&gt;0,(ROUNDUP(AH41/O$41,0)*O$39),"")</f>
        <v/>
      </c>
      <c r="AJ41" s="33" t="str">
        <f t="shared" si="3"/>
        <v/>
      </c>
      <c r="AK41" s="34" t="str">
        <f t="shared" si="4"/>
        <v/>
      </c>
      <c r="AL41" s="35"/>
      <c r="AM41" s="64" t="str">
        <f>IF(G40&gt;0,201/J39,"")</f>
        <v/>
      </c>
      <c r="AN41" s="37" t="str">
        <f t="shared" si="1"/>
        <v/>
      </c>
      <c r="AO41" s="242"/>
      <c r="AP41" s="38">
        <f ca="1">(I40/J41/J42)*AH41/1000</f>
        <v>0</v>
      </c>
      <c r="AQ41" s="38">
        <f ca="1">AH41*$J$39</f>
        <v>0</v>
      </c>
      <c r="AR41" s="39" t="str">
        <f t="shared" si="5"/>
        <v/>
      </c>
      <c r="AT41" s="31" t="str">
        <f t="shared" si="6"/>
        <v/>
      </c>
      <c r="AU41" s="54"/>
      <c r="BC41"/>
      <c r="BD41"/>
    </row>
    <row r="42" spans="1:56" ht="17.399999999999999">
      <c r="A42" s="234"/>
      <c r="B42" s="76"/>
      <c r="C42" s="251" t="s">
        <v>1165</v>
      </c>
      <c r="D42" s="251"/>
      <c r="E42" s="251"/>
      <c r="F42" s="251"/>
      <c r="G42" s="66"/>
      <c r="H42" s="67" t="str">
        <f ca="1">IF(C39="two part box",I42,"")</f>
        <v/>
      </c>
      <c r="I42" s="230" cm="1">
        <f t="array" aca="1" ref="I42" ca="1">_xlfn.LET(
  _xlpm.code, TRIM(SUBSTITUTE(K40,"/","")),
  _xlpm.r, _xlfn.XLOOKUP(_xlpm.code,{"E","B","C","EB","BC"},{111,111,112,113,114},""),
  _xlpm.val, IF(_xlpm.r="",0,N(INDIRECT("'"&amp;B40&amp;"'!G"&amp;_xlpm.r))),
  _xlpm.val*N(J42) + IF(B39="Die cut",25,0)
)</f>
        <v>8</v>
      </c>
      <c r="J42" s="68">
        <v>1</v>
      </c>
      <c r="K42" s="252" t="s">
        <v>54</v>
      </c>
      <c r="L42" s="252"/>
      <c r="M42" s="69"/>
      <c r="N42" s="69" t="str">
        <f ca="1">IF(OR(AND(TEXO!B86=2,W39&lt;4),AND(ETERNA!H86=1,ETERNA!H89=1)),"+KLEJ RĘCZNE","")</f>
        <v/>
      </c>
      <c r="O42" s="249"/>
      <c r="P42" s="249"/>
      <c r="Q42" s="249"/>
      <c r="R42" s="58" t="s">
        <v>51</v>
      </c>
      <c r="S42" s="50">
        <f>S40+S41*2</f>
        <v>1240</v>
      </c>
      <c r="T42" s="50">
        <f>T40+T41*2</f>
        <v>900</v>
      </c>
      <c r="U42" s="70">
        <f ca="1">IF(O40=Pakowanie!Q86,Pakowanie!K86,Pakowanie!K87)</f>
        <v>62</v>
      </c>
      <c r="V42" s="70">
        <f ca="1">IF(Pakowanie!K86=U42,Pakowanie!L86,Pakowanie!L87)</f>
        <v>45</v>
      </c>
      <c r="W42" s="247"/>
      <c r="X42" s="31" t="str">
        <f>IF(AH42&gt;0,(IF((AQ42&gt;=500),VLOOKUP($K$42,baza!$A$1:$F$352,3,0),VLOOKUP($K$42,baza!$A$1:$F$352,3,0)+0.1)),"")</f>
        <v/>
      </c>
      <c r="Y42" s="1" t="str">
        <f>IF(AH42&gt;0,(J$39*X42),"")</f>
        <v/>
      </c>
      <c r="Z42" s="253"/>
      <c r="AA42" s="253"/>
      <c r="AB42" s="253"/>
      <c r="AC42" s="253"/>
      <c r="AD42" s="31" t="s">
        <v>1165</v>
      </c>
      <c r="AE42" s="31" t="str">
        <f t="shared" si="0"/>
        <v/>
      </c>
      <c r="AF42" s="31" t="s">
        <v>1165</v>
      </c>
      <c r="AG42" s="31" t="str">
        <f t="shared" si="2"/>
        <v/>
      </c>
      <c r="AH42" s="32"/>
      <c r="AI42" s="32" t="str">
        <f>IF(AH42&gt;0,(ROUNDUP(AH42/O$41,0)*O$39),"")</f>
        <v/>
      </c>
      <c r="AJ42" s="33" t="str">
        <f t="shared" si="3"/>
        <v/>
      </c>
      <c r="AK42" s="34" t="str">
        <f t="shared" si="4"/>
        <v/>
      </c>
      <c r="AL42" s="35"/>
      <c r="AM42" s="74" t="str">
        <f>IF(G40&gt;0,501/J39,"")</f>
        <v/>
      </c>
      <c r="AN42" s="37" t="str">
        <f t="shared" si="1"/>
        <v/>
      </c>
      <c r="AO42" s="75" t="s">
        <v>43</v>
      </c>
      <c r="AP42" s="38">
        <f ca="1">(I40/J41/J42)*AH42/1000</f>
        <v>0</v>
      </c>
      <c r="AQ42" s="38">
        <f ca="1">AH42*$J$39</f>
        <v>0</v>
      </c>
      <c r="AR42" s="39" t="str">
        <f t="shared" si="5"/>
        <v/>
      </c>
      <c r="AT42" s="31" t="str">
        <f t="shared" si="6"/>
        <v/>
      </c>
      <c r="AU42" s="54"/>
      <c r="BC42"/>
      <c r="BD42"/>
    </row>
    <row r="43" spans="1:56" ht="17.399999999999999">
      <c r="BC43"/>
      <c r="BD43"/>
    </row>
    <row r="44" spans="1:56" ht="17.399999999999999">
      <c r="L44" s="6"/>
      <c r="M44" s="79"/>
      <c r="O44" s="80"/>
      <c r="U44" s="81"/>
      <c r="W44" s="82"/>
      <c r="AE44" t="str">
        <f ca="1">IF($N$6="+KLEJ RĘCZNE",(TEXO!$K3+KLEJENIE!K2), "")</f>
        <v/>
      </c>
      <c r="BC44"/>
      <c r="BD44"/>
    </row>
    <row r="45" spans="1:56" ht="17.399999999999999">
      <c r="BC45"/>
      <c r="BD45"/>
    </row>
    <row r="46" spans="1:56" ht="17.399999999999999">
      <c r="BC46"/>
      <c r="BD46"/>
    </row>
    <row r="47" spans="1:56" ht="17.399999999999999">
      <c r="BC47"/>
      <c r="BD47"/>
    </row>
    <row r="48" spans="1:56" ht="17.399999999999999">
      <c r="B48" s="231"/>
      <c r="BC48"/>
      <c r="BD48"/>
    </row>
    <row r="49" spans="8:56" ht="17.399999999999999">
      <c r="BC49"/>
      <c r="BD49"/>
    </row>
    <row r="50" spans="8:56" ht="17.399999999999999">
      <c r="L50" s="83"/>
      <c r="BC50"/>
      <c r="BD50"/>
    </row>
    <row r="51" spans="8:56" ht="17.399999999999999">
      <c r="BC51"/>
      <c r="BD51"/>
    </row>
    <row r="52" spans="8:56" ht="17.399999999999999">
      <c r="L52" s="83"/>
      <c r="BC52"/>
      <c r="BD52"/>
    </row>
    <row r="53" spans="8:56" ht="17.399999999999999">
      <c r="H53">
        <f ca="1">J3*L4/1000</f>
        <v>1.0187099999999999E-3</v>
      </c>
      <c r="BC53"/>
      <c r="BD53"/>
    </row>
    <row r="54" spans="8:56" ht="17.399999999999999">
      <c r="BC54"/>
      <c r="BD54"/>
    </row>
    <row r="55" spans="8:56" ht="17.399999999999999">
      <c r="BC55"/>
      <c r="BD55"/>
    </row>
    <row r="56" spans="8:56" ht="17.399999999999999">
      <c r="BC56"/>
      <c r="BD56"/>
    </row>
    <row r="57" spans="8:56" ht="17.399999999999999">
      <c r="BC57"/>
      <c r="BD57"/>
    </row>
    <row r="58" spans="8:56" ht="17.399999999999999">
      <c r="BC58"/>
      <c r="BD58"/>
    </row>
    <row r="59" spans="8:56" ht="17.399999999999999">
      <c r="BC59"/>
      <c r="BD59"/>
    </row>
    <row r="60" spans="8:56" ht="17.399999999999999">
      <c r="BC60"/>
      <c r="BD60"/>
    </row>
    <row r="61" spans="8:56" ht="17.399999999999999">
      <c r="BC61"/>
      <c r="BD61"/>
    </row>
    <row r="62" spans="8:56" ht="17.399999999999999">
      <c r="BC62"/>
      <c r="BD62"/>
    </row>
    <row r="63" spans="8:56" ht="17.399999999999999">
      <c r="BC63"/>
      <c r="BD63"/>
    </row>
    <row r="64" spans="8:56" ht="17.399999999999999">
      <c r="BC64"/>
      <c r="BD64"/>
    </row>
    <row r="65" spans="55:56" ht="17.399999999999999">
      <c r="BC65"/>
      <c r="BD65"/>
    </row>
    <row r="66" spans="55:56" ht="17.399999999999999">
      <c r="BC66"/>
      <c r="BD66"/>
    </row>
    <row r="67" spans="55:56" ht="17.399999999999999">
      <c r="BC67"/>
      <c r="BD67"/>
    </row>
    <row r="68" spans="55:56" ht="17.399999999999999">
      <c r="BC68"/>
      <c r="BD68"/>
    </row>
    <row r="69" spans="55:56" ht="17.399999999999999">
      <c r="BC69"/>
      <c r="BD69"/>
    </row>
    <row r="70" spans="55:56" ht="17.399999999999999">
      <c r="BC70"/>
      <c r="BD70"/>
    </row>
    <row r="71" spans="55:56" ht="17.399999999999999">
      <c r="BC71"/>
      <c r="BD71"/>
    </row>
    <row r="72" spans="55:56" ht="17.399999999999999">
      <c r="BC72"/>
      <c r="BD72"/>
    </row>
    <row r="73" spans="55:56" ht="17.399999999999999">
      <c r="BC73"/>
      <c r="BD73"/>
    </row>
    <row r="74" spans="55:56" ht="17.399999999999999">
      <c r="BC74"/>
      <c r="BD74"/>
    </row>
    <row r="75" spans="55:56" ht="17.399999999999999">
      <c r="BC75"/>
      <c r="BD75"/>
    </row>
    <row r="76" spans="55:56" ht="17.399999999999999">
      <c r="BC76"/>
      <c r="BD76"/>
    </row>
    <row r="77" spans="55:56" ht="17.399999999999999">
      <c r="BC77"/>
      <c r="BD77"/>
    </row>
    <row r="78" spans="55:56" ht="17.399999999999999">
      <c r="BC78"/>
      <c r="BD78"/>
    </row>
    <row r="79" spans="55:56" ht="17.399999999999999">
      <c r="BC79"/>
      <c r="BD79"/>
    </row>
    <row r="80" spans="55:56" ht="17.399999999999999">
      <c r="BC80"/>
      <c r="BD80"/>
    </row>
    <row r="81" spans="55:56" ht="17.399999999999999">
      <c r="BC81"/>
      <c r="BD81"/>
    </row>
    <row r="82" spans="55:56" ht="17.399999999999999">
      <c r="BC82"/>
      <c r="BD82"/>
    </row>
    <row r="83" spans="55:56" ht="17.399999999999999">
      <c r="BC83"/>
      <c r="BD83"/>
    </row>
    <row r="84" spans="55:56" ht="17.399999999999999">
      <c r="BC84"/>
      <c r="BD84"/>
    </row>
    <row r="85" spans="55:56" ht="17.399999999999999">
      <c r="BC85"/>
      <c r="BD85"/>
    </row>
    <row r="86" spans="55:56" ht="17.399999999999999">
      <c r="BC86"/>
      <c r="BD86"/>
    </row>
    <row r="87" spans="55:56" ht="17.399999999999999">
      <c r="BC87"/>
      <c r="BD87"/>
    </row>
    <row r="88" spans="55:56" ht="17.399999999999999">
      <c r="BC88"/>
      <c r="BD88"/>
    </row>
    <row r="89" spans="55:56" ht="17.399999999999999">
      <c r="BC89"/>
      <c r="BD89"/>
    </row>
    <row r="90" spans="55:56" ht="17.399999999999999">
      <c r="BC90"/>
      <c r="BD90"/>
    </row>
    <row r="91" spans="55:56" ht="17.399999999999999">
      <c r="BC91"/>
      <c r="BD91"/>
    </row>
    <row r="92" spans="55:56" ht="17.399999999999999">
      <c r="BC92"/>
      <c r="BD92"/>
    </row>
    <row r="93" spans="55:56" ht="17.399999999999999">
      <c r="BC93"/>
      <c r="BD93"/>
    </row>
    <row r="94" spans="55:56" ht="17.399999999999999">
      <c r="BC94"/>
      <c r="BD94"/>
    </row>
    <row r="95" spans="55:56" ht="17.399999999999999">
      <c r="BC95"/>
      <c r="BD95"/>
    </row>
    <row r="96" spans="55:56" ht="17.399999999999999">
      <c r="BC96"/>
      <c r="BD96"/>
    </row>
    <row r="97" spans="55:56" ht="17.399999999999999">
      <c r="BC97"/>
      <c r="BD97"/>
    </row>
    <row r="98" spans="55:56" ht="17.399999999999999">
      <c r="BC98"/>
      <c r="BD98"/>
    </row>
    <row r="99" spans="55:56" ht="17.399999999999999">
      <c r="BC99"/>
      <c r="BD99"/>
    </row>
    <row r="100" spans="55:56" ht="17.399999999999999">
      <c r="BC100"/>
      <c r="BD100"/>
    </row>
    <row r="101" spans="55:56" ht="17.399999999999999">
      <c r="BC101"/>
      <c r="BD101"/>
    </row>
    <row r="102" spans="55:56" ht="17.399999999999999">
      <c r="BC102"/>
      <c r="BD102"/>
    </row>
    <row r="103" spans="55:56" ht="17.399999999999999">
      <c r="BC103"/>
      <c r="BD103"/>
    </row>
    <row r="104" spans="55:56" ht="17.399999999999999">
      <c r="BC104"/>
      <c r="BD104"/>
    </row>
    <row r="105" spans="55:56" ht="17.399999999999999">
      <c r="BC105"/>
      <c r="BD105"/>
    </row>
    <row r="106" spans="55:56" ht="17.399999999999999">
      <c r="BC106"/>
      <c r="BD106"/>
    </row>
    <row r="107" spans="55:56" ht="17.399999999999999">
      <c r="BC107"/>
      <c r="BD107"/>
    </row>
    <row r="108" spans="55:56" ht="17.399999999999999">
      <c r="BC108"/>
      <c r="BD108"/>
    </row>
    <row r="109" spans="55:56" ht="17.399999999999999">
      <c r="BC109"/>
      <c r="BD109"/>
    </row>
    <row r="110" spans="55:56" ht="17.399999999999999">
      <c r="BC110"/>
      <c r="BD110"/>
    </row>
    <row r="111" spans="55:56" ht="17.399999999999999">
      <c r="BC111"/>
      <c r="BD111"/>
    </row>
    <row r="112" spans="55:56" ht="17.399999999999999">
      <c r="BC112"/>
      <c r="BD112"/>
    </row>
    <row r="113" spans="55:56" ht="17.399999999999999">
      <c r="BC113"/>
      <c r="BD113"/>
    </row>
    <row r="114" spans="55:56" ht="17.399999999999999">
      <c r="BC114"/>
      <c r="BD114"/>
    </row>
    <row r="115" spans="55:56" ht="17.399999999999999">
      <c r="BC115"/>
      <c r="BD115"/>
    </row>
    <row r="116" spans="55:56" ht="17.399999999999999">
      <c r="BC116"/>
      <c r="BD116"/>
    </row>
    <row r="117" spans="55:56" ht="17.399999999999999">
      <c r="BC117"/>
      <c r="BD117"/>
    </row>
    <row r="118" spans="55:56" ht="17.399999999999999">
      <c r="BC118"/>
      <c r="BD118"/>
    </row>
    <row r="119" spans="55:56" ht="17.399999999999999">
      <c r="BC119"/>
      <c r="BD119"/>
    </row>
    <row r="120" spans="55:56" ht="17.399999999999999">
      <c r="BC120"/>
      <c r="BD120"/>
    </row>
    <row r="121" spans="55:56" ht="17.399999999999999">
      <c r="BC121"/>
      <c r="BD121"/>
    </row>
    <row r="122" spans="55:56" ht="17.399999999999999">
      <c r="BC122"/>
      <c r="BD122"/>
    </row>
    <row r="123" spans="55:56" ht="17.399999999999999">
      <c r="BC123"/>
      <c r="BD123"/>
    </row>
    <row r="124" spans="55:56" ht="17.399999999999999">
      <c r="BC124"/>
      <c r="BD124"/>
    </row>
    <row r="125" spans="55:56" ht="17.399999999999999">
      <c r="BC125"/>
      <c r="BD125"/>
    </row>
    <row r="126" spans="55:56" ht="17.399999999999999">
      <c r="BC126"/>
      <c r="BD126"/>
    </row>
    <row r="127" spans="55:56" ht="17.399999999999999">
      <c r="BC127"/>
      <c r="BD127"/>
    </row>
    <row r="128" spans="55:56" ht="17.399999999999999">
      <c r="BC128"/>
      <c r="BD128"/>
    </row>
    <row r="129" spans="55:56" ht="17.399999999999999">
      <c r="BC129"/>
      <c r="BD129"/>
    </row>
    <row r="130" spans="55:56" ht="17.399999999999999">
      <c r="BC130"/>
      <c r="BD130"/>
    </row>
    <row r="131" spans="55:56" ht="17.399999999999999">
      <c r="BC131"/>
      <c r="BD131"/>
    </row>
    <row r="132" spans="55:56" ht="17.399999999999999">
      <c r="BC132"/>
      <c r="BD132"/>
    </row>
    <row r="133" spans="55:56" ht="17.399999999999999">
      <c r="BC133"/>
      <c r="BD133"/>
    </row>
    <row r="134" spans="55:56" ht="17.399999999999999">
      <c r="BC134"/>
      <c r="BD134"/>
    </row>
    <row r="135" spans="55:56" ht="17.399999999999999">
      <c r="BC135"/>
      <c r="BD135"/>
    </row>
    <row r="136" spans="55:56" ht="17.399999999999999">
      <c r="BC136"/>
      <c r="BD136"/>
    </row>
    <row r="137" spans="55:56" ht="17.399999999999999">
      <c r="BC137"/>
      <c r="BD137"/>
    </row>
    <row r="138" spans="55:56" ht="17.399999999999999">
      <c r="BC138"/>
      <c r="BD138"/>
    </row>
    <row r="139" spans="55:56" ht="17.399999999999999">
      <c r="BC139"/>
      <c r="BD139"/>
    </row>
    <row r="140" spans="55:56" ht="17.399999999999999">
      <c r="BC140"/>
      <c r="BD140"/>
    </row>
    <row r="141" spans="55:56" ht="17.399999999999999">
      <c r="BC141"/>
      <c r="BD141"/>
    </row>
    <row r="142" spans="55:56" ht="17.399999999999999">
      <c r="BC142"/>
      <c r="BD142"/>
    </row>
    <row r="143" spans="55:56" ht="17.399999999999999">
      <c r="BC143"/>
      <c r="BD143"/>
    </row>
    <row r="144" spans="55:56" ht="17.399999999999999">
      <c r="BC144"/>
      <c r="BD144"/>
    </row>
    <row r="145" spans="55:56" ht="17.399999999999999">
      <c r="BC145"/>
      <c r="BD145"/>
    </row>
    <row r="146" spans="55:56" ht="17.399999999999999">
      <c r="BC146"/>
      <c r="BD146"/>
    </row>
    <row r="147" spans="55:56" ht="17.399999999999999">
      <c r="BC147"/>
      <c r="BD147"/>
    </row>
    <row r="148" spans="55:56" ht="17.399999999999999">
      <c r="BC148"/>
      <c r="BD148"/>
    </row>
    <row r="149" spans="55:56" ht="17.399999999999999">
      <c r="BC149"/>
      <c r="BD149"/>
    </row>
    <row r="150" spans="55:56" ht="17.399999999999999">
      <c r="BC150"/>
      <c r="BD150"/>
    </row>
    <row r="151" spans="55:56" ht="17.399999999999999">
      <c r="BC151"/>
      <c r="BD151"/>
    </row>
    <row r="152" spans="55:56" ht="17.399999999999999">
      <c r="BC152"/>
      <c r="BD152"/>
    </row>
    <row r="153" spans="55:56" ht="17.399999999999999">
      <c r="BC153"/>
      <c r="BD153"/>
    </row>
    <row r="154" spans="55:56" ht="17.399999999999999">
      <c r="BC154"/>
      <c r="BD154"/>
    </row>
    <row r="155" spans="55:56" ht="17.399999999999999">
      <c r="BC155"/>
      <c r="BD155"/>
    </row>
    <row r="156" spans="55:56" ht="17.399999999999999">
      <c r="BC156"/>
      <c r="BD156"/>
    </row>
    <row r="157" spans="55:56" ht="17.399999999999999">
      <c r="BC157"/>
      <c r="BD157"/>
    </row>
    <row r="158" spans="55:56" ht="17.399999999999999">
      <c r="BC158"/>
      <c r="BD158"/>
    </row>
    <row r="159" spans="55:56" ht="17.399999999999999">
      <c r="BC159"/>
      <c r="BD159"/>
    </row>
    <row r="160" spans="55:56" ht="17.399999999999999">
      <c r="BC160"/>
      <c r="BD160"/>
    </row>
    <row r="161" spans="55:56" ht="17.399999999999999">
      <c r="BC161"/>
      <c r="BD161"/>
    </row>
    <row r="162" spans="55:56" ht="17.399999999999999">
      <c r="BC162"/>
      <c r="BD162"/>
    </row>
    <row r="163" spans="55:56" ht="17.399999999999999">
      <c r="BC163"/>
      <c r="BD163"/>
    </row>
    <row r="164" spans="55:56" ht="17.399999999999999">
      <c r="BC164"/>
      <c r="BD164"/>
    </row>
    <row r="165" spans="55:56" ht="17.399999999999999">
      <c r="BC165"/>
      <c r="BD165"/>
    </row>
    <row r="166" spans="55:56" ht="17.399999999999999">
      <c r="BC166"/>
      <c r="BD166"/>
    </row>
    <row r="167" spans="55:56" ht="17.399999999999999">
      <c r="BC167"/>
      <c r="BD167"/>
    </row>
    <row r="168" spans="55:56" ht="17.399999999999999">
      <c r="BC168"/>
      <c r="BD168"/>
    </row>
    <row r="169" spans="55:56" ht="17.399999999999999">
      <c r="BC169"/>
      <c r="BD169"/>
    </row>
    <row r="170" spans="55:56" ht="17.399999999999999">
      <c r="BC170"/>
      <c r="BD170"/>
    </row>
    <row r="171" spans="55:56" ht="17.399999999999999">
      <c r="BC171"/>
      <c r="BD171"/>
    </row>
    <row r="172" spans="55:56" ht="17.399999999999999">
      <c r="BC172"/>
      <c r="BD172"/>
    </row>
    <row r="173" spans="55:56" ht="17.399999999999999">
      <c r="BC173"/>
      <c r="BD173"/>
    </row>
    <row r="174" spans="55:56" ht="17.399999999999999">
      <c r="BC174"/>
      <c r="BD174"/>
    </row>
    <row r="175" spans="55:56" ht="17.399999999999999">
      <c r="BC175"/>
      <c r="BD175"/>
    </row>
    <row r="176" spans="55:56" ht="17.399999999999999">
      <c r="BC176"/>
      <c r="BD176"/>
    </row>
    <row r="177" spans="55:56" ht="17.399999999999999">
      <c r="BC177"/>
      <c r="BD177"/>
    </row>
    <row r="178" spans="55:56" ht="17.399999999999999">
      <c r="BC178"/>
      <c r="BD178"/>
    </row>
    <row r="179" spans="55:56" ht="17.399999999999999">
      <c r="BC179"/>
      <c r="BD179"/>
    </row>
    <row r="180" spans="55:56" ht="17.399999999999999">
      <c r="BC180"/>
      <c r="BD180"/>
    </row>
    <row r="181" spans="55:56" ht="17.399999999999999">
      <c r="BC181"/>
      <c r="BD181"/>
    </row>
    <row r="182" spans="55:56" ht="17.399999999999999">
      <c r="BC182"/>
      <c r="BD182"/>
    </row>
    <row r="183" spans="55:56" ht="17.399999999999999">
      <c r="BC183"/>
      <c r="BD183"/>
    </row>
    <row r="184" spans="55:56" ht="17.399999999999999">
      <c r="BC184"/>
      <c r="BD184"/>
    </row>
    <row r="185" spans="55:56" ht="17.399999999999999">
      <c r="BC185"/>
      <c r="BD185"/>
    </row>
    <row r="186" spans="55:56" ht="17.399999999999999">
      <c r="BC186"/>
      <c r="BD186"/>
    </row>
    <row r="187" spans="55:56" ht="17.399999999999999">
      <c r="BC187"/>
      <c r="BD187"/>
    </row>
    <row r="188" spans="55:56" ht="17.399999999999999">
      <c r="BC188"/>
      <c r="BD188"/>
    </row>
    <row r="189" spans="55:56" ht="17.399999999999999">
      <c r="BC189"/>
      <c r="BD189"/>
    </row>
    <row r="190" spans="55:56" ht="17.399999999999999">
      <c r="BC190"/>
      <c r="BD190"/>
    </row>
    <row r="191" spans="55:56" ht="17.399999999999999">
      <c r="BC191"/>
      <c r="BD191"/>
    </row>
    <row r="192" spans="55:56" ht="17.399999999999999">
      <c r="BC192"/>
      <c r="BD192"/>
    </row>
    <row r="193" spans="55:56" ht="17.399999999999999">
      <c r="BC193"/>
      <c r="BD193"/>
    </row>
    <row r="194" spans="55:56" ht="17.399999999999999">
      <c r="BC194"/>
      <c r="BD194"/>
    </row>
    <row r="195" spans="55:56" ht="17.399999999999999">
      <c r="BC195"/>
      <c r="BD195"/>
    </row>
    <row r="196" spans="55:56" ht="17.399999999999999">
      <c r="BC196"/>
      <c r="BD196"/>
    </row>
    <row r="197" spans="55:56" ht="17.399999999999999">
      <c r="BC197"/>
      <c r="BD197"/>
    </row>
    <row r="198" spans="55:56" ht="17.399999999999999">
      <c r="BC198"/>
      <c r="BD198"/>
    </row>
    <row r="199" spans="55:56" ht="17.399999999999999">
      <c r="BC199"/>
      <c r="BD199"/>
    </row>
    <row r="200" spans="55:56" ht="17.399999999999999">
      <c r="BC200"/>
      <c r="BD200"/>
    </row>
    <row r="201" spans="55:56" ht="17.399999999999999">
      <c r="BC201"/>
      <c r="BD201"/>
    </row>
    <row r="202" spans="55:56" ht="17.399999999999999">
      <c r="BC202"/>
      <c r="BD202"/>
    </row>
    <row r="203" spans="55:56" ht="17.399999999999999">
      <c r="BC203"/>
      <c r="BD203"/>
    </row>
    <row r="204" spans="55:56" ht="17.399999999999999">
      <c r="BC204"/>
      <c r="BD204"/>
    </row>
    <row r="205" spans="55:56" ht="17.399999999999999">
      <c r="BC205"/>
      <c r="BD205"/>
    </row>
    <row r="206" spans="55:56" ht="17.399999999999999">
      <c r="BC206"/>
      <c r="BD206"/>
    </row>
    <row r="207" spans="55:56" ht="17.399999999999999">
      <c r="BC207"/>
      <c r="BD207"/>
    </row>
    <row r="208" spans="55:56" ht="17.399999999999999">
      <c r="BC208"/>
      <c r="BD208"/>
    </row>
    <row r="209" spans="55:56" ht="17.399999999999999">
      <c r="BC209"/>
      <c r="BD209"/>
    </row>
    <row r="210" spans="55:56" ht="17.399999999999999">
      <c r="BC210"/>
      <c r="BD210"/>
    </row>
    <row r="211" spans="55:56" ht="17.399999999999999">
      <c r="BC211"/>
      <c r="BD211"/>
    </row>
    <row r="212" spans="55:56" ht="17.399999999999999">
      <c r="BC212"/>
      <c r="BD212"/>
    </row>
    <row r="213" spans="55:56" ht="17.399999999999999">
      <c r="BC213"/>
      <c r="BD213"/>
    </row>
    <row r="214" spans="55:56" ht="17.399999999999999">
      <c r="BC214"/>
      <c r="BD214"/>
    </row>
    <row r="215" spans="55:56" ht="17.399999999999999">
      <c r="BC215"/>
      <c r="BD215"/>
    </row>
    <row r="216" spans="55:56" ht="17.399999999999999">
      <c r="BC216"/>
      <c r="BD216"/>
    </row>
    <row r="217" spans="55:56" ht="17.399999999999999">
      <c r="BC217"/>
      <c r="BD217"/>
    </row>
    <row r="218" spans="55:56" ht="17.399999999999999">
      <c r="BC218"/>
      <c r="BD218"/>
    </row>
    <row r="219" spans="55:56" ht="17.399999999999999">
      <c r="BC219"/>
      <c r="BD219"/>
    </row>
    <row r="220" spans="55:56" ht="17.399999999999999">
      <c r="BC220"/>
      <c r="BD220"/>
    </row>
    <row r="221" spans="55:56" ht="17.399999999999999">
      <c r="BC221"/>
      <c r="BD221"/>
    </row>
    <row r="222" spans="55:56" ht="17.399999999999999">
      <c r="BC222"/>
      <c r="BD222"/>
    </row>
    <row r="223" spans="55:56" ht="17.399999999999999">
      <c r="BC223"/>
      <c r="BD223"/>
    </row>
    <row r="224" spans="55:56" ht="17.399999999999999">
      <c r="BC224"/>
      <c r="BD224"/>
    </row>
    <row r="225" spans="55:56" ht="17.399999999999999">
      <c r="BC225"/>
      <c r="BD225"/>
    </row>
    <row r="226" spans="55:56" ht="17.399999999999999">
      <c r="BC226"/>
      <c r="BD226"/>
    </row>
    <row r="227" spans="55:56" ht="17.399999999999999">
      <c r="BC227"/>
      <c r="BD227"/>
    </row>
    <row r="228" spans="55:56" ht="17.399999999999999">
      <c r="BC228"/>
      <c r="BD228"/>
    </row>
    <row r="229" spans="55:56" ht="17.399999999999999">
      <c r="BC229"/>
      <c r="BD229"/>
    </row>
    <row r="230" spans="55:56" ht="17.399999999999999">
      <c r="BC230"/>
      <c r="BD230"/>
    </row>
    <row r="231" spans="55:56" ht="17.399999999999999">
      <c r="BC231"/>
      <c r="BD231"/>
    </row>
    <row r="232" spans="55:56" ht="17.399999999999999">
      <c r="BC232"/>
      <c r="BD232"/>
    </row>
    <row r="233" spans="55:56" ht="17.399999999999999">
      <c r="BC233"/>
      <c r="BD233"/>
    </row>
    <row r="234" spans="55:56" ht="17.399999999999999">
      <c r="BC234"/>
      <c r="BD234"/>
    </row>
    <row r="235" spans="55:56" ht="17.399999999999999">
      <c r="BC235"/>
      <c r="BD235"/>
    </row>
    <row r="236" spans="55:56" ht="17.399999999999999">
      <c r="BC236"/>
      <c r="BD236"/>
    </row>
    <row r="237" spans="55:56" ht="17.399999999999999">
      <c r="BC237"/>
      <c r="BD237"/>
    </row>
  </sheetData>
  <mergeCells count="208">
    <mergeCell ref="A1:B1"/>
    <mergeCell ref="C1:AQ1"/>
    <mergeCell ref="C2:G2"/>
    <mergeCell ref="K2:L2"/>
    <mergeCell ref="O2:Q2"/>
    <mergeCell ref="R2:T2"/>
    <mergeCell ref="U2:V2"/>
    <mergeCell ref="Z2:AC2"/>
    <mergeCell ref="A3:A6"/>
    <mergeCell ref="C3:G3"/>
    <mergeCell ref="J3:J4"/>
    <mergeCell ref="K3:L3"/>
    <mergeCell ref="P3:Q3"/>
    <mergeCell ref="U3:V3"/>
    <mergeCell ref="Z3:AA4"/>
    <mergeCell ref="AB3:AC4"/>
    <mergeCell ref="AO3:AO5"/>
    <mergeCell ref="B4:B5"/>
    <mergeCell ref="C4:D5"/>
    <mergeCell ref="E4:F5"/>
    <mergeCell ref="G4:G5"/>
    <mergeCell ref="W4:W6"/>
    <mergeCell ref="K5:L5"/>
    <mergeCell ref="O5:Q6"/>
    <mergeCell ref="U5:V5"/>
    <mergeCell ref="C6:F6"/>
    <mergeCell ref="K6:L6"/>
    <mergeCell ref="Z6:AC6"/>
    <mergeCell ref="A7:A10"/>
    <mergeCell ref="C7:G7"/>
    <mergeCell ref="J7:J8"/>
    <mergeCell ref="K7:L7"/>
    <mergeCell ref="P7:Q7"/>
    <mergeCell ref="U7:V7"/>
    <mergeCell ref="Z7:AA8"/>
    <mergeCell ref="AB7:AC8"/>
    <mergeCell ref="AO7:AO9"/>
    <mergeCell ref="B8:B9"/>
    <mergeCell ref="C8:D9"/>
    <mergeCell ref="E8:F9"/>
    <mergeCell ref="G8:G9"/>
    <mergeCell ref="W8:W10"/>
    <mergeCell ref="K9:L9"/>
    <mergeCell ref="O9:Q10"/>
    <mergeCell ref="U9:V9"/>
    <mergeCell ref="C10:F10"/>
    <mergeCell ref="K10:L10"/>
    <mergeCell ref="Z10:AC10"/>
    <mergeCell ref="A11:A14"/>
    <mergeCell ref="C11:G11"/>
    <mergeCell ref="J11:J12"/>
    <mergeCell ref="K11:L11"/>
    <mergeCell ref="P11:Q11"/>
    <mergeCell ref="U11:V11"/>
    <mergeCell ref="Z11:AA12"/>
    <mergeCell ref="AB11:AC12"/>
    <mergeCell ref="AO11:AO13"/>
    <mergeCell ref="B12:B13"/>
    <mergeCell ref="C12:D13"/>
    <mergeCell ref="E12:F13"/>
    <mergeCell ref="G12:G13"/>
    <mergeCell ref="W12:W14"/>
    <mergeCell ref="K13:L13"/>
    <mergeCell ref="O13:Q14"/>
    <mergeCell ref="U13:V13"/>
    <mergeCell ref="C14:F14"/>
    <mergeCell ref="K14:L14"/>
    <mergeCell ref="Z14:AC14"/>
    <mergeCell ref="A15:A18"/>
    <mergeCell ref="C15:G15"/>
    <mergeCell ref="J15:J16"/>
    <mergeCell ref="K15:L15"/>
    <mergeCell ref="P15:Q15"/>
    <mergeCell ref="U15:V15"/>
    <mergeCell ref="Z15:AA16"/>
    <mergeCell ref="AB15:AC16"/>
    <mergeCell ref="AO15:AO17"/>
    <mergeCell ref="B16:B17"/>
    <mergeCell ref="C16:D17"/>
    <mergeCell ref="E16:F17"/>
    <mergeCell ref="G16:G17"/>
    <mergeCell ref="W16:W18"/>
    <mergeCell ref="K17:L17"/>
    <mergeCell ref="O17:Q18"/>
    <mergeCell ref="U17:V17"/>
    <mergeCell ref="C18:F18"/>
    <mergeCell ref="K18:L18"/>
    <mergeCell ref="Z18:AC18"/>
    <mergeCell ref="A19:A22"/>
    <mergeCell ref="C19:G19"/>
    <mergeCell ref="J19:J20"/>
    <mergeCell ref="K19:L19"/>
    <mergeCell ref="P19:Q19"/>
    <mergeCell ref="U19:V19"/>
    <mergeCell ref="Z19:AA20"/>
    <mergeCell ref="AB19:AC20"/>
    <mergeCell ref="AO19:AO21"/>
    <mergeCell ref="B20:B21"/>
    <mergeCell ref="C20:D21"/>
    <mergeCell ref="E20:F21"/>
    <mergeCell ref="G20:G21"/>
    <mergeCell ref="W20:W22"/>
    <mergeCell ref="K21:L21"/>
    <mergeCell ref="O21:Q22"/>
    <mergeCell ref="U21:V21"/>
    <mergeCell ref="C22:F22"/>
    <mergeCell ref="K22:L22"/>
    <mergeCell ref="Z22:AC22"/>
    <mergeCell ref="A23:A26"/>
    <mergeCell ref="C23:G23"/>
    <mergeCell ref="J23:J24"/>
    <mergeCell ref="K23:L23"/>
    <mergeCell ref="P23:Q23"/>
    <mergeCell ref="U23:V23"/>
    <mergeCell ref="Z23:AA24"/>
    <mergeCell ref="AB23:AC24"/>
    <mergeCell ref="AO23:AO25"/>
    <mergeCell ref="B24:B25"/>
    <mergeCell ref="C24:D25"/>
    <mergeCell ref="E24:F25"/>
    <mergeCell ref="G24:G25"/>
    <mergeCell ref="W24:W26"/>
    <mergeCell ref="K25:L25"/>
    <mergeCell ref="O25:Q26"/>
    <mergeCell ref="U25:V25"/>
    <mergeCell ref="C26:F26"/>
    <mergeCell ref="K26:L26"/>
    <mergeCell ref="Z26:AC26"/>
    <mergeCell ref="A27:A30"/>
    <mergeCell ref="C27:G27"/>
    <mergeCell ref="J27:J28"/>
    <mergeCell ref="K27:L27"/>
    <mergeCell ref="P27:Q27"/>
    <mergeCell ref="U27:V27"/>
    <mergeCell ref="Z27:AA28"/>
    <mergeCell ref="AB27:AC28"/>
    <mergeCell ref="AO27:AO29"/>
    <mergeCell ref="B28:B29"/>
    <mergeCell ref="C28:D29"/>
    <mergeCell ref="E28:F29"/>
    <mergeCell ref="G28:G29"/>
    <mergeCell ref="W28:W30"/>
    <mergeCell ref="K29:L29"/>
    <mergeCell ref="O29:Q30"/>
    <mergeCell ref="U29:V29"/>
    <mergeCell ref="C30:F30"/>
    <mergeCell ref="K30:L30"/>
    <mergeCell ref="Z30:AC30"/>
    <mergeCell ref="A31:A34"/>
    <mergeCell ref="C31:G31"/>
    <mergeCell ref="J31:J32"/>
    <mergeCell ref="K31:L31"/>
    <mergeCell ref="P31:Q31"/>
    <mergeCell ref="U31:V31"/>
    <mergeCell ref="Z31:AA32"/>
    <mergeCell ref="AB31:AC32"/>
    <mergeCell ref="AO31:AO33"/>
    <mergeCell ref="B32:B33"/>
    <mergeCell ref="C32:D33"/>
    <mergeCell ref="E32:F33"/>
    <mergeCell ref="G32:G33"/>
    <mergeCell ref="W32:W34"/>
    <mergeCell ref="K33:L33"/>
    <mergeCell ref="O33:Q34"/>
    <mergeCell ref="U33:V33"/>
    <mergeCell ref="C34:F34"/>
    <mergeCell ref="K34:L34"/>
    <mergeCell ref="Z34:AC34"/>
    <mergeCell ref="A35:A38"/>
    <mergeCell ref="C35:G35"/>
    <mergeCell ref="J35:J36"/>
    <mergeCell ref="K35:L35"/>
    <mergeCell ref="P35:Q35"/>
    <mergeCell ref="U35:V35"/>
    <mergeCell ref="Z35:AA36"/>
    <mergeCell ref="AB35:AC36"/>
    <mergeCell ref="AO35:AO37"/>
    <mergeCell ref="B36:B37"/>
    <mergeCell ref="C36:D37"/>
    <mergeCell ref="E36:F37"/>
    <mergeCell ref="G36:G37"/>
    <mergeCell ref="W36:W38"/>
    <mergeCell ref="K37:L37"/>
    <mergeCell ref="O37:Q38"/>
    <mergeCell ref="U37:V37"/>
    <mergeCell ref="C38:F38"/>
    <mergeCell ref="K38:L38"/>
    <mergeCell ref="Z38:AC38"/>
    <mergeCell ref="A39:A42"/>
    <mergeCell ref="C39:G39"/>
    <mergeCell ref="J39:J40"/>
    <mergeCell ref="K39:L39"/>
    <mergeCell ref="P39:Q39"/>
    <mergeCell ref="U39:V39"/>
    <mergeCell ref="Z39:AA40"/>
    <mergeCell ref="AB39:AC40"/>
    <mergeCell ref="AO39:AO41"/>
    <mergeCell ref="B40:B41"/>
    <mergeCell ref="C40:D41"/>
    <mergeCell ref="E40:F41"/>
    <mergeCell ref="G40:G41"/>
    <mergeCell ref="W40:W42"/>
    <mergeCell ref="K41:L41"/>
    <mergeCell ref="O41:Q42"/>
    <mergeCell ref="U41:V41"/>
    <mergeCell ref="C42:F42"/>
    <mergeCell ref="K42:L42"/>
    <mergeCell ref="Z42:AC42"/>
  </mergeCells>
  <conditionalFormatting sqref="X3:X42">
    <cfRule type="expression" dxfId="12" priority="2">
      <formula>AK3&gt;=500</formula>
    </cfRule>
    <cfRule type="expression" dxfId="11" priority="3">
      <formula>AK3&gt;=200</formula>
    </cfRule>
    <cfRule type="expression" dxfId="10" priority="4">
      <formula>AK3&lt;200</formula>
    </cfRule>
  </conditionalFormatting>
  <conditionalFormatting sqref="AD3:AD42">
    <cfRule type="expression" dxfId="9" priority="5">
      <formula>Y3=$AN$1</formula>
    </cfRule>
  </conditionalFormatting>
  <conditionalFormatting sqref="AJ3:AJ42">
    <cfRule type="expression" dxfId="8" priority="6">
      <formula>AB3=$AN$1</formula>
    </cfRule>
    <cfRule type="expression" dxfId="7" priority="7">
      <formula>Y3=$AN$1</formula>
    </cfRule>
  </conditionalFormatting>
  <conditionalFormatting sqref="AP3:AP42">
    <cfRule type="cellIs" dxfId="6" priority="8" operator="lessThan">
      <formula>300</formula>
    </cfRule>
    <cfRule type="cellIs" dxfId="5" priority="9" operator="between">
      <formula>300</formula>
      <formula>499.99</formula>
    </cfRule>
  </conditionalFormatting>
  <conditionalFormatting sqref="AP3:AQ42">
    <cfRule type="cellIs" dxfId="4" priority="10" operator="greaterThanOrEqual">
      <formula>500</formula>
    </cfRule>
  </conditionalFormatting>
  <conditionalFormatting sqref="AQ3:AQ42">
    <cfRule type="cellIs" dxfId="3" priority="12" operator="between">
      <formula>200</formula>
      <formula>499.99</formula>
    </cfRule>
    <cfRule type="cellIs" dxfId="2" priority="13" operator="lessThan">
      <formula>200</formula>
    </cfRule>
  </conditionalFormatting>
  <conditionalFormatting sqref="AR3:AR42">
    <cfRule type="expression" dxfId="1" priority="14">
      <formula>AB3=$AN$1</formula>
    </cfRule>
    <cfRule type="expression" dxfId="0" priority="15">
      <formula>Y3=$AN$1</formula>
    </cfRule>
  </conditionalFormatting>
  <dataValidations count="18">
    <dataValidation type="list" operator="equal" allowBlank="1" sqref="B3 B7 B11 B15 B19 B23 B27 B31 B35 B39" xr:uid="{00000000-0002-0000-0000-000000000000}">
      <formula1>" ,Die cut"</formula1>
      <formula2>0</formula2>
    </dataValidation>
    <dataValidation type="list" operator="equal" allowBlank="1" showErrorMessage="1" sqref="M3 M39 M35 M31 M27 M23 M19 M15 M11 M7" xr:uid="{00000000-0002-0000-0000-000001000000}">
      <formula1>"0,25,100"</formula1>
      <formula2>0</formula2>
    </dataValidation>
    <dataValidation type="list" operator="equal" allowBlank="1" sqref="O3 O7 O11 O15 O19 O23 O27 O31 O35 O39" xr:uid="{00000000-0002-0000-0000-000002000000}">
      <formula1>"1,2,3,4,5,6"</formula1>
      <formula2>0</formula2>
    </dataValidation>
    <dataValidation type="list" operator="equal" allowBlank="1" sqref="P3 P7 P11 P15 P19 P23 P27 P31 P35 P39" xr:uid="{00000000-0002-0000-0000-000003000000}">
      <formula1>"EURO,industrial 1200x800,industrial 1200x1000,special 1600x1200,special 2400x1200,special 2000x1800,"</formula1>
      <formula2>0</formula2>
    </dataValidation>
    <dataValidation type="list" operator="equal" allowBlank="1" sqref="Q3 Q7 Q11 Q15 Q19 Q23 Q27 Q31 Q35 Q39" xr:uid="{00000000-0002-0000-0000-000004000000}">
      <formula1>"F,E,B,C,EB,BC"</formula1>
      <formula2>0</formula2>
    </dataValidation>
    <dataValidation type="list" operator="equal" allowBlank="1" sqref="W3 W7 W11 W15 W19 W23 W27 W31 W35 W39" xr:uid="{00000000-0002-0000-0000-000005000000}">
      <formula1>"0,1,2,3,"</formula1>
      <formula2>0</formula2>
    </dataValidation>
    <dataValidation type="list" errorStyle="warning" operator="equal" allowBlank="1" showErrorMessage="1" errorTitle="Ręczne" error="Wpisz długość i szerokość formatu ręcznie" sqref="B4 B8 B12 B16 B20 B24 B28 B32 B36 B40" xr:uid="{00000000-0002-0000-0000-000006000000}">
      <formula1>"F0110,F0200,F0201,F0202,F0203,F0200-F0203,F0201-F0203,F0409,F0410,F0422,F0427,F0451,F0452,F0501,F0711,F0713,Spec."</formula1>
      <formula2>0</formula2>
    </dataValidation>
    <dataValidation type="list" operator="equal" allowBlank="1" sqref="M4 M8 M12 M16 M20 M24 M28 M32 M36 M40" xr:uid="{00000000-0002-0000-0000-000007000000}">
      <formula1>"-,3,"</formula1>
      <formula2>0</formula2>
    </dataValidation>
    <dataValidation type="list" operator="equal" allowBlank="1" sqref="Q4 Q8 Q12 Q16 Q20 Q24 Q28 Q32 Q36 Q40" xr:uid="{00000000-0002-0000-0000-000008000000}">
      <formula1>"2100,1800,1250"</formula1>
      <formula2>0</formula2>
    </dataValidation>
    <dataValidation type="list" operator="equal" allowBlank="1" sqref="S4 S8 S12 S16 S20 S24 S28 S32 S36 S40" xr:uid="{00000000-0002-0000-0000-000009000000}">
      <formula1>"1200,1600,2000,,,"</formula1>
      <formula2>0</formula2>
    </dataValidation>
    <dataValidation type="list" operator="equal" allowBlank="1" sqref="T4 T8 T12 T16 T20 T24 T28 T32 T36 T40" xr:uid="{00000000-0002-0000-0000-00000A000000}">
      <formula1>"800,1000,1600,1800,2000"</formula1>
      <formula2>0</formula2>
    </dataValidation>
    <dataValidation type="list" operator="equal" allowBlank="1" sqref="W4 W8 W12 W16 W20 W24 W28 W32 W36 W40" xr:uid="{00000000-0002-0000-0000-00000B000000}">
      <formula1>"-,+ die cut tool - ... €,+ cliche - ... €,+ cliche - ... € + die cut tool - ... €,,"</formula1>
      <formula2>0</formula2>
    </dataValidation>
    <dataValidation type="list" operator="equal" allowBlank="1" showErrorMessage="1" sqref="J5" xr:uid="{00000000-0002-0000-0000-00000C000000}">
      <formula1>"1,2,3,4,5,6,7,8,9,10"</formula1>
      <formula2>0</formula2>
    </dataValidation>
    <dataValidation type="list" operator="equal" allowBlank="1" sqref="M5 M9 M13 M17 M21 M25 M29 M33 M37 M41" xr:uid="{00000000-0002-0000-0000-00000D000000}">
      <formula1>"-,szycie"</formula1>
      <formula2>0</formula2>
    </dataValidation>
    <dataValidation type="list" operator="equal" allowBlank="1" sqref="W5:W6 W9:W10 W13:W14 W17:W18 W21:W22 W25:W26 W29:W30 W33:W34 W37:W38 W41:W42" xr:uid="{00000000-0002-0000-0000-00000E000000}">
      <formula1>"BRAK,1 KOLOR,2 KOLORY,3 KOLORY,4 KOLORY,"</formula1>
      <formula2>0</formula2>
    </dataValidation>
    <dataValidation type="list" operator="equal" allowBlank="1" sqref="J6 J10 J14 J18 J22 J26 J30 J34 J38 J42" xr:uid="{00000000-0002-0000-0000-00000F000000}">
      <formula1>"1,2,3,4,5,"</formula1>
      <formula2>0</formula2>
    </dataValidation>
    <dataValidation type="list" operator="equal" allowBlank="1" sqref="AO6 AO10 AO14 AO18 AO22 AO26 AO30 AO34 AO38 AO42" xr:uid="{00000000-0002-0000-0000-000010000000}">
      <formula1>"-,00-WPISANY,02-Malmo/Landskrona/Helsingborg/Vaxjo/Ljungby/Kalmar,03-Jonkoping/Taberg/Tranas/Tvaaker/Halmstad/Boras,04-Goteborg/Motala/Norrkoping,05-Uddevalla/Kristinehamn,06-Sztokholm/Rosersberg/Uppsala/Eskilstuna/Rosersberg/Norsborg/Sodertalje,07-Arvika"</formula1>
      <formula2>0</formula2>
    </dataValidation>
    <dataValidation type="list" operator="equal" allowBlank="1" showErrorMessage="1" sqref="J9 J13 J17 J21 J25 J29 J33 J37 J41" xr:uid="{00000000-0002-0000-0000-000012000000}">
      <formula1>"1,2,3,4,5"</formula1>
      <formula2>0</formula2>
    </dataValidation>
  </dataValidations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C000"/>
    <pageSetUpPr fitToPage="1"/>
  </sheetPr>
  <dimension ref="A1:N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4" ht="13.2"/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</row>
    <row r="3" spans="1:14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>SUM(L9:N9)</f>
        <v>12</v>
      </c>
      <c r="G3" s="87">
        <f>SUM(B9:F9)</f>
        <v>16</v>
      </c>
      <c r="H3" s="90">
        <f>(F3*G3)/1000000</f>
        <v>1.92E-4</v>
      </c>
      <c r="I3" s="91">
        <f>I10/H3</f>
        <v>2604166.6666666665</v>
      </c>
      <c r="J3" s="92">
        <f t="shared" ref="J3:K6" si="0">F3+10</f>
        <v>22</v>
      </c>
      <c r="K3" s="92">
        <f t="shared" si="0"/>
        <v>26</v>
      </c>
    </row>
    <row r="4" spans="1:14" ht="13.2">
      <c r="A4" s="260"/>
      <c r="B4" s="89" t="s">
        <v>68</v>
      </c>
      <c r="C4" s="6"/>
      <c r="D4" s="6"/>
      <c r="E4" s="6"/>
      <c r="F4" s="87">
        <f>SUM(L10:N10)</f>
        <v>18</v>
      </c>
      <c r="G4" s="87">
        <f>SUM(B10:F10)</f>
        <v>21</v>
      </c>
      <c r="H4" s="93">
        <f>F4*G4/1000000</f>
        <v>3.7800000000000003E-4</v>
      </c>
      <c r="I4" s="91">
        <f>I10/H4</f>
        <v>1322751.3227513228</v>
      </c>
      <c r="J4" s="92">
        <f t="shared" si="0"/>
        <v>28</v>
      </c>
      <c r="K4" s="92">
        <f t="shared" si="0"/>
        <v>31</v>
      </c>
    </row>
    <row r="5" spans="1:14" ht="13.2">
      <c r="A5" s="260"/>
      <c r="B5" s="89" t="s">
        <v>69</v>
      </c>
      <c r="C5" s="6"/>
      <c r="D5" s="6"/>
      <c r="E5" s="6"/>
      <c r="F5" s="87">
        <f>SUM(L11:N11)</f>
        <v>23</v>
      </c>
      <c r="G5" s="87">
        <f>SUM(B11:F11)</f>
        <v>26</v>
      </c>
      <c r="H5" s="93">
        <f>F5*G5/1000000</f>
        <v>5.9800000000000001E-4</v>
      </c>
      <c r="I5" s="91">
        <f>I10/H5</f>
        <v>836120.40133779263</v>
      </c>
      <c r="J5" s="92">
        <f t="shared" si="0"/>
        <v>33</v>
      </c>
      <c r="K5" s="92">
        <f t="shared" si="0"/>
        <v>36</v>
      </c>
    </row>
    <row r="6" spans="1:14" ht="13.2">
      <c r="A6" s="260"/>
      <c r="B6" s="89" t="s">
        <v>70</v>
      </c>
      <c r="C6" s="6"/>
      <c r="D6" s="6"/>
      <c r="E6" s="6"/>
      <c r="F6" s="87">
        <f>SUM(L12:N12)</f>
        <v>30</v>
      </c>
      <c r="G6" s="87">
        <f>SUM(B12:F12)</f>
        <v>36</v>
      </c>
      <c r="H6" s="93">
        <f>F6*G6/1000000</f>
        <v>1.08E-3</v>
      </c>
      <c r="I6" s="91">
        <f>I10/H6</f>
        <v>462962.96296296298</v>
      </c>
      <c r="J6" s="92">
        <f t="shared" si="0"/>
        <v>40</v>
      </c>
      <c r="K6" s="92">
        <f t="shared" si="0"/>
        <v>46</v>
      </c>
    </row>
    <row r="7" spans="1:14" ht="13.2">
      <c r="A7" s="260"/>
      <c r="E7" t="s">
        <v>35</v>
      </c>
    </row>
    <row r="8" spans="1:14" ht="13.35" customHeight="1">
      <c r="A8" s="260"/>
      <c r="B8" s="263" t="s">
        <v>81</v>
      </c>
      <c r="C8" s="263"/>
      <c r="D8" s="263"/>
      <c r="E8" s="263"/>
      <c r="F8" s="263"/>
      <c r="G8" s="86"/>
      <c r="H8" s="87"/>
      <c r="I8" s="264" t="s">
        <v>63</v>
      </c>
      <c r="L8" s="263" t="s">
        <v>82</v>
      </c>
      <c r="M8" s="263"/>
      <c r="N8" s="263"/>
    </row>
    <row r="9" spans="1:14" ht="13.2">
      <c r="A9" s="260"/>
      <c r="B9" s="101">
        <f>E3</f>
        <v>0</v>
      </c>
      <c r="C9" s="97">
        <f>D3+3</f>
        <v>3</v>
      </c>
      <c r="D9" s="98">
        <f>E3+4</f>
        <v>4</v>
      </c>
      <c r="E9" s="98">
        <f>D3+6</f>
        <v>6</v>
      </c>
      <c r="F9" s="98">
        <f>E3+3</f>
        <v>3</v>
      </c>
      <c r="G9" s="87"/>
      <c r="H9" s="90"/>
      <c r="I9" s="264"/>
      <c r="L9" s="101">
        <f>E3+1</f>
        <v>1</v>
      </c>
      <c r="M9" s="97">
        <f>C3+10</f>
        <v>10</v>
      </c>
      <c r="N9" s="98">
        <f>E3+1</f>
        <v>1</v>
      </c>
    </row>
    <row r="10" spans="1:14" ht="13.2">
      <c r="A10" s="260"/>
      <c r="B10" s="101">
        <f>E3</f>
        <v>0</v>
      </c>
      <c r="C10" s="102">
        <f>D3+4</f>
        <v>4</v>
      </c>
      <c r="D10" s="103">
        <f>E3+5</f>
        <v>5</v>
      </c>
      <c r="E10" s="103">
        <f>D3+8</f>
        <v>8</v>
      </c>
      <c r="F10" s="103">
        <f>E3+4</f>
        <v>4</v>
      </c>
      <c r="G10" s="87"/>
      <c r="H10" s="90"/>
      <c r="I10" s="99">
        <v>500</v>
      </c>
      <c r="L10" s="101">
        <f>E3+2</f>
        <v>2</v>
      </c>
      <c r="M10" s="102">
        <f>C3+14</f>
        <v>14</v>
      </c>
      <c r="N10" s="103">
        <f>E3+2</f>
        <v>2</v>
      </c>
    </row>
    <row r="11" spans="1:14" ht="13.2">
      <c r="A11" s="260"/>
      <c r="B11" s="101">
        <f>E3</f>
        <v>0</v>
      </c>
      <c r="C11" s="102">
        <f>D3+5</f>
        <v>5</v>
      </c>
      <c r="D11" s="103">
        <f>E3+6</f>
        <v>6</v>
      </c>
      <c r="E11" s="103">
        <f>D3+10</f>
        <v>10</v>
      </c>
      <c r="F11" s="103">
        <f>E3+5</f>
        <v>5</v>
      </c>
      <c r="G11" s="87"/>
      <c r="H11" s="90"/>
      <c r="I11" s="87"/>
      <c r="L11" s="101">
        <f>E3+3</f>
        <v>3</v>
      </c>
      <c r="M11" s="102">
        <f>C3+17</f>
        <v>17</v>
      </c>
      <c r="N11" s="103">
        <f>E3+3</f>
        <v>3</v>
      </c>
    </row>
    <row r="12" spans="1:14" ht="13.2">
      <c r="A12" s="260"/>
      <c r="B12" s="101">
        <f>E3</f>
        <v>0</v>
      </c>
      <c r="C12" s="102">
        <f>D3+7</f>
        <v>7</v>
      </c>
      <c r="D12" s="103">
        <f>E3+8</f>
        <v>8</v>
      </c>
      <c r="E12" s="103">
        <f>D3+14</f>
        <v>14</v>
      </c>
      <c r="F12" s="103">
        <f>E3+7</f>
        <v>7</v>
      </c>
      <c r="G12" s="87"/>
      <c r="H12" s="90"/>
      <c r="I12" s="87"/>
      <c r="L12" s="101">
        <f>E3+5</f>
        <v>5</v>
      </c>
      <c r="M12" s="102">
        <f>C3+20</f>
        <v>20</v>
      </c>
      <c r="N12" s="103">
        <f>E3+5</f>
        <v>5</v>
      </c>
    </row>
    <row r="13" spans="1:14" ht="13.2"/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SUM(L21:N21)</f>
        <v>12</v>
      </c>
      <c r="G15" s="87">
        <f>SUM(B21:F21)</f>
        <v>16</v>
      </c>
      <c r="H15" s="90">
        <f>(F15*G15)/1000000</f>
        <v>1.92E-4</v>
      </c>
      <c r="I15" s="91">
        <f>I22/H15</f>
        <v>2604166.6666666665</v>
      </c>
      <c r="J15" s="92">
        <f t="shared" ref="J15:K18" si="1">F15+10</f>
        <v>22</v>
      </c>
      <c r="K15" s="92">
        <f t="shared" si="1"/>
        <v>26</v>
      </c>
    </row>
    <row r="16" spans="1:14" ht="13.2">
      <c r="A16" s="260"/>
      <c r="B16" s="89" t="s">
        <v>68</v>
      </c>
      <c r="C16" s="6"/>
      <c r="D16" s="6"/>
      <c r="E16" s="6"/>
      <c r="F16" s="87">
        <f>SUM(L22:N22)</f>
        <v>18</v>
      </c>
      <c r="G16" s="87">
        <f>SUM(B22:F22)</f>
        <v>21</v>
      </c>
      <c r="H16" s="93">
        <f>F16*G16/1000000</f>
        <v>3.7800000000000003E-4</v>
      </c>
      <c r="I16" s="91">
        <f>I22/H16</f>
        <v>1322751.3227513228</v>
      </c>
      <c r="J16" s="92">
        <f t="shared" si="1"/>
        <v>28</v>
      </c>
      <c r="K16" s="92">
        <f t="shared" si="1"/>
        <v>31</v>
      </c>
    </row>
    <row r="17" spans="1:14" ht="13.2">
      <c r="A17" s="260"/>
      <c r="B17" s="89" t="s">
        <v>69</v>
      </c>
      <c r="C17" s="6"/>
      <c r="D17" s="6"/>
      <c r="E17" s="6"/>
      <c r="F17" s="87">
        <f>SUM(L23:N23)</f>
        <v>23</v>
      </c>
      <c r="G17" s="87">
        <f>SUM(B23:F23)</f>
        <v>26</v>
      </c>
      <c r="H17" s="93">
        <f>F17*G17/1000000</f>
        <v>5.9800000000000001E-4</v>
      </c>
      <c r="I17" s="91">
        <f>I22/H17</f>
        <v>836120.40133779263</v>
      </c>
      <c r="J17" s="92">
        <f t="shared" si="1"/>
        <v>33</v>
      </c>
      <c r="K17" s="92">
        <f t="shared" si="1"/>
        <v>36</v>
      </c>
    </row>
    <row r="18" spans="1:14" ht="13.2">
      <c r="A18" s="260"/>
      <c r="B18" s="89" t="s">
        <v>70</v>
      </c>
      <c r="C18" s="6"/>
      <c r="D18" s="6"/>
      <c r="E18" s="6"/>
      <c r="F18" s="87">
        <f>SUM(L24:N24)</f>
        <v>30</v>
      </c>
      <c r="G18" s="87">
        <f>SUM(B24:F24)</f>
        <v>36</v>
      </c>
      <c r="H18" s="93">
        <f>F18*G18/1000000</f>
        <v>1.08E-3</v>
      </c>
      <c r="I18" s="91">
        <f>I22/H18</f>
        <v>462962.96296296298</v>
      </c>
      <c r="J18" s="92">
        <f t="shared" si="1"/>
        <v>40</v>
      </c>
      <c r="K18" s="92">
        <f t="shared" si="1"/>
        <v>46</v>
      </c>
    </row>
    <row r="19" spans="1:14" ht="13.2">
      <c r="A19" s="260"/>
      <c r="E19" t="s">
        <v>35</v>
      </c>
    </row>
    <row r="20" spans="1:14" ht="13.35" customHeight="1">
      <c r="A20" s="260"/>
      <c r="B20" s="263" t="s">
        <v>81</v>
      </c>
      <c r="C20" s="263"/>
      <c r="D20" s="263"/>
      <c r="E20" s="263"/>
      <c r="F20" s="263"/>
      <c r="G20" s="86"/>
      <c r="H20" s="87"/>
      <c r="I20" s="264" t="s">
        <v>63</v>
      </c>
      <c r="L20" s="263" t="s">
        <v>82</v>
      </c>
      <c r="M20" s="263"/>
      <c r="N20" s="263"/>
    </row>
    <row r="21" spans="1:14" ht="13.2">
      <c r="A21" s="260"/>
      <c r="B21" s="101">
        <f>E15</f>
        <v>0</v>
      </c>
      <c r="C21" s="97">
        <f>D15+3</f>
        <v>3</v>
      </c>
      <c r="D21" s="98">
        <f>E15+4</f>
        <v>4</v>
      </c>
      <c r="E21" s="98">
        <f>D15+6</f>
        <v>6</v>
      </c>
      <c r="F21" s="98">
        <f>E15+3</f>
        <v>3</v>
      </c>
      <c r="G21" s="87"/>
      <c r="H21" s="90"/>
      <c r="I21" s="264"/>
      <c r="L21" s="101">
        <f>E15+1</f>
        <v>1</v>
      </c>
      <c r="M21" s="97">
        <f>C15+10</f>
        <v>10</v>
      </c>
      <c r="N21" s="98">
        <f>E15+1</f>
        <v>1</v>
      </c>
    </row>
    <row r="22" spans="1:14" ht="13.2">
      <c r="A22" s="260"/>
      <c r="B22" s="101">
        <f>E15</f>
        <v>0</v>
      </c>
      <c r="C22" s="102">
        <f>D15+4</f>
        <v>4</v>
      </c>
      <c r="D22" s="103">
        <f>E15+5</f>
        <v>5</v>
      </c>
      <c r="E22" s="103">
        <f>D15+8</f>
        <v>8</v>
      </c>
      <c r="F22" s="103">
        <f>E15+4</f>
        <v>4</v>
      </c>
      <c r="G22" s="87"/>
      <c r="H22" s="90"/>
      <c r="I22" s="99">
        <v>500</v>
      </c>
      <c r="L22" s="101">
        <f>E15+2</f>
        <v>2</v>
      </c>
      <c r="M22" s="102">
        <f>C15+14</f>
        <v>14</v>
      </c>
      <c r="N22" s="103">
        <f>E15+2</f>
        <v>2</v>
      </c>
    </row>
    <row r="23" spans="1:14" ht="13.2">
      <c r="A23" s="260"/>
      <c r="B23" s="101">
        <f>E15</f>
        <v>0</v>
      </c>
      <c r="C23" s="102">
        <f>D15+5</f>
        <v>5</v>
      </c>
      <c r="D23" s="103">
        <f>E15+6</f>
        <v>6</v>
      </c>
      <c r="E23" s="103">
        <f>D15+10</f>
        <v>10</v>
      </c>
      <c r="F23" s="103">
        <f>E15+5</f>
        <v>5</v>
      </c>
      <c r="G23" s="87"/>
      <c r="H23" s="90"/>
      <c r="I23" s="87"/>
      <c r="L23" s="101">
        <f>E15+3</f>
        <v>3</v>
      </c>
      <c r="M23" s="102">
        <f>C15+17</f>
        <v>17</v>
      </c>
      <c r="N23" s="103">
        <f>E15+3</f>
        <v>3</v>
      </c>
    </row>
    <row r="24" spans="1:14" ht="13.2">
      <c r="A24" s="260"/>
      <c r="B24" s="101">
        <f>E15</f>
        <v>0</v>
      </c>
      <c r="C24" s="102">
        <f>D15+7</f>
        <v>7</v>
      </c>
      <c r="D24" s="103">
        <f>E15+8</f>
        <v>8</v>
      </c>
      <c r="E24" s="103">
        <f>D15+14</f>
        <v>14</v>
      </c>
      <c r="F24" s="103">
        <f>E15+7</f>
        <v>7</v>
      </c>
      <c r="G24" s="87"/>
      <c r="H24" s="90"/>
      <c r="I24" s="87"/>
      <c r="L24" s="101">
        <f>E15+5</f>
        <v>5</v>
      </c>
      <c r="M24" s="102">
        <f>C15+20</f>
        <v>20</v>
      </c>
      <c r="N24" s="103">
        <f>E15+5</f>
        <v>5</v>
      </c>
    </row>
    <row r="25" spans="1:14" ht="13.2"/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SUM(L33:N33)</f>
        <v>12</v>
      </c>
      <c r="G27" s="87">
        <f>SUM(B33:F33)</f>
        <v>16</v>
      </c>
      <c r="H27" s="90">
        <f>(F27*G27)/1000000</f>
        <v>1.92E-4</v>
      </c>
      <c r="I27" s="91">
        <f>I34/H27</f>
        <v>2604166.6666666665</v>
      </c>
      <c r="J27" s="92">
        <f>F27+10</f>
        <v>22</v>
      </c>
      <c r="K27" s="92">
        <v>10</v>
      </c>
    </row>
    <row r="28" spans="1:14" ht="13.2">
      <c r="A28" s="260"/>
      <c r="B28" s="89" t="s">
        <v>68</v>
      </c>
      <c r="C28" s="6"/>
      <c r="D28" s="6"/>
      <c r="E28" s="6"/>
      <c r="F28" s="87">
        <f>SUM(L34:N34)</f>
        <v>18</v>
      </c>
      <c r="G28" s="87">
        <f>SUM(B34:F34)</f>
        <v>21</v>
      </c>
      <c r="H28" s="93">
        <f>F28*G28/1000000</f>
        <v>3.7800000000000003E-4</v>
      </c>
      <c r="I28" s="91">
        <f>I34/H28</f>
        <v>1322751.3227513228</v>
      </c>
      <c r="J28" s="92">
        <f>F28+10</f>
        <v>28</v>
      </c>
      <c r="K28" s="92">
        <v>11</v>
      </c>
    </row>
    <row r="29" spans="1:14" ht="13.2">
      <c r="A29" s="260"/>
      <c r="B29" s="89" t="s">
        <v>69</v>
      </c>
      <c r="C29" s="6"/>
      <c r="D29" s="6"/>
      <c r="E29" s="6"/>
      <c r="F29" s="87">
        <f>SUM(L35:N35)</f>
        <v>23</v>
      </c>
      <c r="G29" s="87">
        <f>SUM(B35:F35)</f>
        <v>26</v>
      </c>
      <c r="H29" s="93">
        <f>F29*G29/1000000</f>
        <v>5.9800000000000001E-4</v>
      </c>
      <c r="I29" s="91">
        <f>I34/H29</f>
        <v>836120.40133779263</v>
      </c>
      <c r="J29" s="92">
        <f>F29+10</f>
        <v>33</v>
      </c>
      <c r="K29" s="92">
        <v>12</v>
      </c>
    </row>
    <row r="30" spans="1:14" ht="13.2">
      <c r="A30" s="260"/>
      <c r="B30" s="89" t="s">
        <v>70</v>
      </c>
      <c r="C30" s="6"/>
      <c r="D30" s="6"/>
      <c r="E30" s="6"/>
      <c r="F30" s="87">
        <f>SUM(L36:N36)</f>
        <v>30</v>
      </c>
      <c r="G30" s="87">
        <f>SUM(B36:F36)</f>
        <v>36</v>
      </c>
      <c r="H30" s="93">
        <f>F30*G30/1000000</f>
        <v>1.08E-3</v>
      </c>
      <c r="I30" s="91">
        <f>I34/H30</f>
        <v>462962.96296296298</v>
      </c>
      <c r="J30" s="92">
        <f>F30+10</f>
        <v>40</v>
      </c>
      <c r="K30" s="92">
        <v>13</v>
      </c>
    </row>
    <row r="31" spans="1:14" ht="13.2">
      <c r="A31" s="260"/>
      <c r="E31" t="s">
        <v>35</v>
      </c>
    </row>
    <row r="32" spans="1:14" ht="13.35" customHeight="1">
      <c r="A32" s="260"/>
      <c r="B32" s="263" t="s">
        <v>81</v>
      </c>
      <c r="C32" s="263"/>
      <c r="D32" s="263"/>
      <c r="E32" s="263"/>
      <c r="F32" s="263"/>
      <c r="G32" s="86"/>
      <c r="H32" s="87"/>
      <c r="I32" s="264" t="s">
        <v>63</v>
      </c>
      <c r="L32" s="263" t="s">
        <v>82</v>
      </c>
      <c r="M32" s="263"/>
      <c r="N32" s="263"/>
    </row>
    <row r="33" spans="1:14" ht="13.2">
      <c r="A33" s="260"/>
      <c r="B33" s="101">
        <f>E27</f>
        <v>0</v>
      </c>
      <c r="C33" s="97">
        <f>D27+3</f>
        <v>3</v>
      </c>
      <c r="D33" s="98">
        <f>E27+4</f>
        <v>4</v>
      </c>
      <c r="E33" s="98">
        <f>D27+6</f>
        <v>6</v>
      </c>
      <c r="F33" s="98">
        <f>E27+3</f>
        <v>3</v>
      </c>
      <c r="G33" s="87"/>
      <c r="H33" s="90"/>
      <c r="I33" s="264"/>
      <c r="L33" s="101">
        <f>E27+1</f>
        <v>1</v>
      </c>
      <c r="M33" s="97">
        <f>C27+10</f>
        <v>10</v>
      </c>
      <c r="N33" s="98">
        <f>E27+1</f>
        <v>1</v>
      </c>
    </row>
    <row r="34" spans="1:14" ht="13.2">
      <c r="A34" s="260"/>
      <c r="B34" s="101">
        <f>E27</f>
        <v>0</v>
      </c>
      <c r="C34" s="102">
        <f>D27+4</f>
        <v>4</v>
      </c>
      <c r="D34" s="103">
        <f>E27+5</f>
        <v>5</v>
      </c>
      <c r="E34" s="103">
        <f>D27+8</f>
        <v>8</v>
      </c>
      <c r="F34" s="103">
        <f>E27+4</f>
        <v>4</v>
      </c>
      <c r="G34" s="87"/>
      <c r="H34" s="90"/>
      <c r="I34" s="99">
        <v>500</v>
      </c>
      <c r="L34" s="101">
        <f>E27+2</f>
        <v>2</v>
      </c>
      <c r="M34" s="102">
        <f>C27+14</f>
        <v>14</v>
      </c>
      <c r="N34" s="103">
        <f>E27+2</f>
        <v>2</v>
      </c>
    </row>
    <row r="35" spans="1:14" ht="13.2">
      <c r="A35" s="260"/>
      <c r="B35" s="101">
        <f>E27</f>
        <v>0</v>
      </c>
      <c r="C35" s="102">
        <f>D27+5</f>
        <v>5</v>
      </c>
      <c r="D35" s="103">
        <f>E27+6</f>
        <v>6</v>
      </c>
      <c r="E35" s="103">
        <f>D27+10</f>
        <v>10</v>
      </c>
      <c r="F35" s="103">
        <f>E27+5</f>
        <v>5</v>
      </c>
      <c r="G35" s="87"/>
      <c r="H35" s="90"/>
      <c r="I35" s="87"/>
      <c r="L35" s="101">
        <f>E27+3</f>
        <v>3</v>
      </c>
      <c r="M35" s="102">
        <f>C27+17</f>
        <v>17</v>
      </c>
      <c r="N35" s="103">
        <f>E27+3</f>
        <v>3</v>
      </c>
    </row>
    <row r="36" spans="1:14" ht="13.2">
      <c r="A36" s="260"/>
      <c r="B36" s="101">
        <f>E27</f>
        <v>0</v>
      </c>
      <c r="C36" s="102">
        <f>D27+7</f>
        <v>7</v>
      </c>
      <c r="D36" s="103">
        <f>E27+8</f>
        <v>8</v>
      </c>
      <c r="E36" s="103">
        <f>D27+14</f>
        <v>14</v>
      </c>
      <c r="F36" s="103">
        <f>E27+7</f>
        <v>7</v>
      </c>
      <c r="G36" s="87"/>
      <c r="H36" s="90"/>
      <c r="I36" s="87"/>
      <c r="L36" s="101">
        <f>E27+5</f>
        <v>5</v>
      </c>
      <c r="M36" s="102">
        <f>C27+20</f>
        <v>20</v>
      </c>
      <c r="N36" s="103">
        <f>E27+5</f>
        <v>5</v>
      </c>
    </row>
    <row r="37" spans="1:14" ht="13.2"/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SUM(L45:N45)</f>
        <v>12</v>
      </c>
      <c r="G39" s="87">
        <f>SUM(B45:F45)</f>
        <v>16</v>
      </c>
      <c r="H39" s="90">
        <f>(F39*G39)/1000000</f>
        <v>1.92E-4</v>
      </c>
      <c r="I39" s="91">
        <f>I46/H39</f>
        <v>2604166.6666666665</v>
      </c>
      <c r="J39" s="92">
        <f t="shared" ref="J39:K42" si="2">F39+10</f>
        <v>22</v>
      </c>
      <c r="K39" s="92">
        <f t="shared" si="2"/>
        <v>26</v>
      </c>
    </row>
    <row r="40" spans="1:14" ht="13.2">
      <c r="A40" s="260"/>
      <c r="B40" s="89" t="s">
        <v>68</v>
      </c>
      <c r="C40" s="6"/>
      <c r="D40" s="6"/>
      <c r="E40" s="6"/>
      <c r="F40" s="87">
        <f>SUM(L46:N46)</f>
        <v>18</v>
      </c>
      <c r="G40" s="87">
        <f>SUM(B46:F46)</f>
        <v>21</v>
      </c>
      <c r="H40" s="93">
        <f>F40*G40/1000000</f>
        <v>3.7800000000000003E-4</v>
      </c>
      <c r="I40" s="91">
        <f>I46/H40</f>
        <v>1322751.3227513228</v>
      </c>
      <c r="J40" s="92">
        <f t="shared" si="2"/>
        <v>28</v>
      </c>
      <c r="K40" s="92">
        <f t="shared" si="2"/>
        <v>31</v>
      </c>
    </row>
    <row r="41" spans="1:14" ht="13.2">
      <c r="A41" s="260"/>
      <c r="B41" s="89" t="s">
        <v>69</v>
      </c>
      <c r="C41" s="6"/>
      <c r="D41" s="6"/>
      <c r="E41" s="6"/>
      <c r="F41" s="87">
        <f>SUM(L47:N47)</f>
        <v>23</v>
      </c>
      <c r="G41" s="87">
        <f>SUM(B47:F47)</f>
        <v>26</v>
      </c>
      <c r="H41" s="93">
        <f>F41*G41/1000000</f>
        <v>5.9800000000000001E-4</v>
      </c>
      <c r="I41" s="91">
        <f>I46/H41</f>
        <v>836120.40133779263</v>
      </c>
      <c r="J41" s="92">
        <f t="shared" si="2"/>
        <v>33</v>
      </c>
      <c r="K41" s="92">
        <f t="shared" si="2"/>
        <v>36</v>
      </c>
    </row>
    <row r="42" spans="1:14" ht="13.2">
      <c r="A42" s="260"/>
      <c r="B42" s="89" t="s">
        <v>70</v>
      </c>
      <c r="C42" s="6"/>
      <c r="D42" s="6"/>
      <c r="E42" s="6"/>
      <c r="F42" s="87">
        <f>SUM(L48:N48)</f>
        <v>30</v>
      </c>
      <c r="G42" s="87">
        <f>SUM(B48:F48)</f>
        <v>36</v>
      </c>
      <c r="H42" s="93">
        <f>F42*G42/1000000</f>
        <v>1.08E-3</v>
      </c>
      <c r="I42" s="91">
        <f>I46/H42</f>
        <v>462962.96296296298</v>
      </c>
      <c r="J42" s="92">
        <f t="shared" si="2"/>
        <v>40</v>
      </c>
      <c r="K42" s="92">
        <f t="shared" si="2"/>
        <v>46</v>
      </c>
    </row>
    <row r="43" spans="1:14" ht="13.2">
      <c r="A43" s="260"/>
      <c r="E43" t="s">
        <v>35</v>
      </c>
    </row>
    <row r="44" spans="1:14" ht="13.35" customHeight="1">
      <c r="A44" s="260"/>
      <c r="B44" s="263" t="s">
        <v>81</v>
      </c>
      <c r="C44" s="263"/>
      <c r="D44" s="263"/>
      <c r="E44" s="263"/>
      <c r="F44" s="263"/>
      <c r="G44" s="86"/>
      <c r="H44" s="87"/>
      <c r="I44" s="264" t="s">
        <v>63</v>
      </c>
      <c r="L44" s="263" t="s">
        <v>82</v>
      </c>
      <c r="M44" s="263"/>
      <c r="N44" s="263"/>
    </row>
    <row r="45" spans="1:14" ht="13.2">
      <c r="A45" s="260"/>
      <c r="B45" s="101">
        <f>E39</f>
        <v>0</v>
      </c>
      <c r="C45" s="97">
        <f>D39+3</f>
        <v>3</v>
      </c>
      <c r="D45" s="98">
        <f>E39+4</f>
        <v>4</v>
      </c>
      <c r="E45" s="98">
        <f>D39+6</f>
        <v>6</v>
      </c>
      <c r="F45" s="98">
        <f>E39+3</f>
        <v>3</v>
      </c>
      <c r="G45" s="87"/>
      <c r="H45" s="90"/>
      <c r="I45" s="264"/>
      <c r="L45" s="101">
        <f>E39+1</f>
        <v>1</v>
      </c>
      <c r="M45" s="97">
        <f>C39+10</f>
        <v>10</v>
      </c>
      <c r="N45" s="98">
        <f>E39+1</f>
        <v>1</v>
      </c>
    </row>
    <row r="46" spans="1:14" ht="13.2">
      <c r="A46" s="260"/>
      <c r="B46" s="101">
        <f>E39</f>
        <v>0</v>
      </c>
      <c r="C46" s="102">
        <f>D39+4</f>
        <v>4</v>
      </c>
      <c r="D46" s="103">
        <f>E39+5</f>
        <v>5</v>
      </c>
      <c r="E46" s="103">
        <f>D39+8</f>
        <v>8</v>
      </c>
      <c r="F46" s="103">
        <f>E39+4</f>
        <v>4</v>
      </c>
      <c r="G46" s="87"/>
      <c r="H46" s="90"/>
      <c r="I46" s="99">
        <v>500</v>
      </c>
      <c r="L46" s="101">
        <f>E39+2</f>
        <v>2</v>
      </c>
      <c r="M46" s="102">
        <f>C39+14</f>
        <v>14</v>
      </c>
      <c r="N46" s="103">
        <f>E39+2</f>
        <v>2</v>
      </c>
    </row>
    <row r="47" spans="1:14" ht="13.2">
      <c r="A47" s="260"/>
      <c r="B47" s="101">
        <f>E39</f>
        <v>0</v>
      </c>
      <c r="C47" s="102">
        <f>D39+5</f>
        <v>5</v>
      </c>
      <c r="D47" s="103">
        <f>E39+6</f>
        <v>6</v>
      </c>
      <c r="E47" s="103">
        <f>D39+10</f>
        <v>10</v>
      </c>
      <c r="F47" s="103">
        <f>E39+5</f>
        <v>5</v>
      </c>
      <c r="G47" s="87"/>
      <c r="H47" s="90"/>
      <c r="I47" s="87"/>
      <c r="L47" s="101">
        <f>E39+3</f>
        <v>3</v>
      </c>
      <c r="M47" s="102">
        <f>C39+17</f>
        <v>17</v>
      </c>
      <c r="N47" s="103">
        <f>E39+3</f>
        <v>3</v>
      </c>
    </row>
    <row r="48" spans="1:14" ht="13.2">
      <c r="A48" s="260"/>
      <c r="B48" s="101">
        <f>E39</f>
        <v>0</v>
      </c>
      <c r="C48" s="102">
        <f>D39+7</f>
        <v>7</v>
      </c>
      <c r="D48" s="103">
        <f>E39+8</f>
        <v>8</v>
      </c>
      <c r="E48" s="103">
        <f>D39+14</f>
        <v>14</v>
      </c>
      <c r="F48" s="103">
        <f>E39+7</f>
        <v>7</v>
      </c>
      <c r="G48" s="87"/>
      <c r="H48" s="90"/>
      <c r="I48" s="87"/>
      <c r="L48" s="101">
        <f>E39+5</f>
        <v>5</v>
      </c>
      <c r="M48" s="102">
        <f>C39+20</f>
        <v>20</v>
      </c>
      <c r="N48" s="103">
        <f>E39+5</f>
        <v>5</v>
      </c>
    </row>
    <row r="49" spans="1:14" ht="13.2"/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SUM(L57:N57)</f>
        <v>12</v>
      </c>
      <c r="G51" s="87">
        <f>SUM(B57:F57)</f>
        <v>16</v>
      </c>
      <c r="H51" s="90">
        <f>(F51*G51)/1000000</f>
        <v>1.92E-4</v>
      </c>
      <c r="I51" s="91">
        <f>I58/H51</f>
        <v>2604166.6666666665</v>
      </c>
      <c r="J51" s="92">
        <f t="shared" ref="J51:K54" si="3">F51+10</f>
        <v>22</v>
      </c>
      <c r="K51" s="92">
        <f t="shared" si="3"/>
        <v>26</v>
      </c>
    </row>
    <row r="52" spans="1:14" ht="13.2">
      <c r="A52" s="260"/>
      <c r="B52" s="89" t="s">
        <v>68</v>
      </c>
      <c r="C52" s="6"/>
      <c r="D52" s="6"/>
      <c r="E52" s="6"/>
      <c r="F52" s="87">
        <f>SUM(L58:N58)</f>
        <v>18</v>
      </c>
      <c r="G52" s="87">
        <f>SUM(B58:F58)</f>
        <v>21</v>
      </c>
      <c r="H52" s="93">
        <f>F52*G52/1000000</f>
        <v>3.7800000000000003E-4</v>
      </c>
      <c r="I52" s="91">
        <f>I58/H52</f>
        <v>1322751.3227513228</v>
      </c>
      <c r="J52" s="92">
        <f t="shared" si="3"/>
        <v>28</v>
      </c>
      <c r="K52" s="92">
        <f t="shared" si="3"/>
        <v>31</v>
      </c>
    </row>
    <row r="53" spans="1:14" ht="13.2">
      <c r="A53" s="260"/>
      <c r="B53" s="89" t="s">
        <v>69</v>
      </c>
      <c r="C53" s="6"/>
      <c r="D53" s="6"/>
      <c r="E53" s="6"/>
      <c r="F53" s="87">
        <f>SUM(L59:N59)</f>
        <v>23</v>
      </c>
      <c r="G53" s="87">
        <f>SUM(B59:F59)</f>
        <v>26</v>
      </c>
      <c r="H53" s="93">
        <f>F53*G53/1000000</f>
        <v>5.9800000000000001E-4</v>
      </c>
      <c r="I53" s="91">
        <f>I58/H53</f>
        <v>836120.40133779263</v>
      </c>
      <c r="J53" s="92">
        <f t="shared" si="3"/>
        <v>33</v>
      </c>
      <c r="K53" s="92">
        <f t="shared" si="3"/>
        <v>36</v>
      </c>
    </row>
    <row r="54" spans="1:14" ht="13.2">
      <c r="A54" s="260"/>
      <c r="B54" s="89" t="s">
        <v>70</v>
      </c>
      <c r="C54" s="6"/>
      <c r="D54" s="6"/>
      <c r="E54" s="6"/>
      <c r="F54" s="87">
        <f>SUM(L60:N60)</f>
        <v>30</v>
      </c>
      <c r="G54" s="87">
        <f>SUM(B60:F60)</f>
        <v>36</v>
      </c>
      <c r="H54" s="93">
        <f>F54*G54/1000000</f>
        <v>1.08E-3</v>
      </c>
      <c r="I54" s="91">
        <f>I58/H54</f>
        <v>462962.96296296298</v>
      </c>
      <c r="J54" s="92">
        <f t="shared" si="3"/>
        <v>40</v>
      </c>
      <c r="K54" s="92">
        <f t="shared" si="3"/>
        <v>46</v>
      </c>
    </row>
    <row r="55" spans="1:14" ht="13.2">
      <c r="A55" s="260"/>
      <c r="E55" t="s">
        <v>35</v>
      </c>
    </row>
    <row r="56" spans="1:14" ht="13.35" customHeight="1">
      <c r="A56" s="260"/>
      <c r="B56" s="263" t="s">
        <v>81</v>
      </c>
      <c r="C56" s="263"/>
      <c r="D56" s="263"/>
      <c r="E56" s="263"/>
      <c r="F56" s="263"/>
      <c r="G56" s="86"/>
      <c r="H56" s="87"/>
      <c r="I56" s="264" t="s">
        <v>63</v>
      </c>
      <c r="L56" s="263" t="s">
        <v>82</v>
      </c>
      <c r="M56" s="263"/>
      <c r="N56" s="263"/>
    </row>
    <row r="57" spans="1:14" ht="13.2">
      <c r="A57" s="260"/>
      <c r="B57" s="101">
        <f>E51</f>
        <v>0</v>
      </c>
      <c r="C57" s="97">
        <f>D51+3</f>
        <v>3</v>
      </c>
      <c r="D57" s="98">
        <f>E51+4</f>
        <v>4</v>
      </c>
      <c r="E57" s="98">
        <f>D51+6</f>
        <v>6</v>
      </c>
      <c r="F57" s="98">
        <f>E51+3</f>
        <v>3</v>
      </c>
      <c r="G57" s="87"/>
      <c r="H57" s="90"/>
      <c r="I57" s="264"/>
      <c r="L57" s="101">
        <f>E51+1</f>
        <v>1</v>
      </c>
      <c r="M57" s="97">
        <f>C51+10</f>
        <v>10</v>
      </c>
      <c r="N57" s="98">
        <f>E51+1</f>
        <v>1</v>
      </c>
    </row>
    <row r="58" spans="1:14" ht="13.2">
      <c r="A58" s="260"/>
      <c r="B58" s="101">
        <f>E51</f>
        <v>0</v>
      </c>
      <c r="C58" s="102">
        <f>D51+4</f>
        <v>4</v>
      </c>
      <c r="D58" s="103">
        <f>E51+5</f>
        <v>5</v>
      </c>
      <c r="E58" s="103">
        <f>D51+8</f>
        <v>8</v>
      </c>
      <c r="F58" s="103">
        <f>E51+4</f>
        <v>4</v>
      </c>
      <c r="G58" s="87"/>
      <c r="H58" s="90"/>
      <c r="I58" s="99">
        <v>500</v>
      </c>
      <c r="L58" s="101">
        <f>E51+2</f>
        <v>2</v>
      </c>
      <c r="M58" s="102">
        <f>C51+14</f>
        <v>14</v>
      </c>
      <c r="N58" s="103">
        <f>E51+2</f>
        <v>2</v>
      </c>
    </row>
    <row r="59" spans="1:14" ht="13.2">
      <c r="A59" s="260"/>
      <c r="B59" s="101">
        <f>E51</f>
        <v>0</v>
      </c>
      <c r="C59" s="102">
        <f>D51+5</f>
        <v>5</v>
      </c>
      <c r="D59" s="103">
        <f>E51+6</f>
        <v>6</v>
      </c>
      <c r="E59" s="103">
        <f>D51+10</f>
        <v>10</v>
      </c>
      <c r="F59" s="103">
        <f>E51+5</f>
        <v>5</v>
      </c>
      <c r="G59" s="87"/>
      <c r="H59" s="90"/>
      <c r="I59" s="87"/>
      <c r="L59" s="101">
        <f>E51+3</f>
        <v>3</v>
      </c>
      <c r="M59" s="102">
        <f>C51+17</f>
        <v>17</v>
      </c>
      <c r="N59" s="103">
        <f>E51+3</f>
        <v>3</v>
      </c>
    </row>
    <row r="60" spans="1:14" ht="13.2">
      <c r="A60" s="260"/>
      <c r="B60" s="101">
        <f>E51</f>
        <v>0</v>
      </c>
      <c r="C60" s="102">
        <f>D51+7</f>
        <v>7</v>
      </c>
      <c r="D60" s="103">
        <f>E51+8</f>
        <v>8</v>
      </c>
      <c r="E60" s="103">
        <f>D51+14</f>
        <v>14</v>
      </c>
      <c r="F60" s="103">
        <f>E51+7</f>
        <v>7</v>
      </c>
      <c r="G60" s="87"/>
      <c r="H60" s="90"/>
      <c r="I60" s="87"/>
      <c r="L60" s="101">
        <f>E51+5</f>
        <v>5</v>
      </c>
      <c r="M60" s="102">
        <f>C51+20</f>
        <v>20</v>
      </c>
      <c r="N60" s="103">
        <f>E51+5</f>
        <v>5</v>
      </c>
    </row>
    <row r="61" spans="1:14" ht="13.2"/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SUM(L69:N69)</f>
        <v>12</v>
      </c>
      <c r="G63" s="87">
        <f>SUM(B69:F69)</f>
        <v>16</v>
      </c>
      <c r="H63" s="90">
        <f>(F63*G63)/1000000</f>
        <v>1.92E-4</v>
      </c>
      <c r="I63" s="91">
        <f>I70/H63</f>
        <v>2604166.6666666665</v>
      </c>
      <c r="J63" s="92">
        <f t="shared" ref="J63:K66" si="4">F63+10</f>
        <v>22</v>
      </c>
      <c r="K63" s="92">
        <f t="shared" si="4"/>
        <v>26</v>
      </c>
    </row>
    <row r="64" spans="1:14" ht="13.2">
      <c r="A64" s="260"/>
      <c r="B64" s="89" t="s">
        <v>68</v>
      </c>
      <c r="C64" s="6"/>
      <c r="D64" s="6"/>
      <c r="E64" s="6"/>
      <c r="F64" s="87">
        <f>SUM(L70:N70)</f>
        <v>18</v>
      </c>
      <c r="G64" s="87">
        <f>SUM(B70:F70)</f>
        <v>21</v>
      </c>
      <c r="H64" s="93">
        <f>F64*G64/1000000</f>
        <v>3.7800000000000003E-4</v>
      </c>
      <c r="I64" s="91">
        <f>I70/H64</f>
        <v>1322751.3227513228</v>
      </c>
      <c r="J64" s="92">
        <f t="shared" si="4"/>
        <v>28</v>
      </c>
      <c r="K64" s="92">
        <f t="shared" si="4"/>
        <v>31</v>
      </c>
    </row>
    <row r="65" spans="1:14" ht="13.2">
      <c r="A65" s="260"/>
      <c r="B65" s="89" t="s">
        <v>69</v>
      </c>
      <c r="C65" s="6"/>
      <c r="D65" s="6"/>
      <c r="E65" s="6"/>
      <c r="F65" s="87">
        <f>SUM(L71:N71)</f>
        <v>23</v>
      </c>
      <c r="G65" s="87">
        <f>SUM(B71:F71)</f>
        <v>26</v>
      </c>
      <c r="H65" s="93">
        <f>F65*G65/1000000</f>
        <v>5.9800000000000001E-4</v>
      </c>
      <c r="I65" s="91">
        <f>I70/H65</f>
        <v>836120.40133779263</v>
      </c>
      <c r="J65" s="92">
        <f t="shared" si="4"/>
        <v>33</v>
      </c>
      <c r="K65" s="92">
        <f t="shared" si="4"/>
        <v>36</v>
      </c>
    </row>
    <row r="66" spans="1:14" ht="13.2">
      <c r="A66" s="260"/>
      <c r="B66" s="89" t="s">
        <v>70</v>
      </c>
      <c r="C66" s="6"/>
      <c r="D66" s="6"/>
      <c r="E66" s="6"/>
      <c r="F66" s="87">
        <f>SUM(L72:N72)</f>
        <v>30</v>
      </c>
      <c r="G66" s="87">
        <f>SUM(B72:F72)</f>
        <v>36</v>
      </c>
      <c r="H66" s="93">
        <f>F66*G66/1000000</f>
        <v>1.08E-3</v>
      </c>
      <c r="I66" s="91">
        <f>I70/H66</f>
        <v>462962.96296296298</v>
      </c>
      <c r="J66" s="92">
        <f t="shared" si="4"/>
        <v>40</v>
      </c>
      <c r="K66" s="92">
        <f t="shared" si="4"/>
        <v>46</v>
      </c>
    </row>
    <row r="67" spans="1:14" ht="13.2">
      <c r="A67" s="260"/>
      <c r="E67" t="s">
        <v>35</v>
      </c>
    </row>
    <row r="68" spans="1:14" ht="13.35" customHeight="1">
      <c r="A68" s="260"/>
      <c r="B68" s="263" t="s">
        <v>81</v>
      </c>
      <c r="C68" s="263"/>
      <c r="D68" s="263"/>
      <c r="E68" s="263"/>
      <c r="F68" s="263"/>
      <c r="G68" s="86"/>
      <c r="H68" s="87"/>
      <c r="I68" s="264" t="s">
        <v>63</v>
      </c>
      <c r="L68" s="263" t="s">
        <v>82</v>
      </c>
      <c r="M68" s="263"/>
      <c r="N68" s="263"/>
    </row>
    <row r="69" spans="1:14" ht="13.2">
      <c r="A69" s="260"/>
      <c r="B69" s="101">
        <f>E63</f>
        <v>0</v>
      </c>
      <c r="C69" s="97">
        <f>D63+3</f>
        <v>3</v>
      </c>
      <c r="D69" s="98">
        <f>E63+4</f>
        <v>4</v>
      </c>
      <c r="E69" s="98">
        <f>D63+6</f>
        <v>6</v>
      </c>
      <c r="F69" s="98">
        <f>E63+3</f>
        <v>3</v>
      </c>
      <c r="G69" s="87"/>
      <c r="H69" s="90"/>
      <c r="I69" s="264"/>
      <c r="L69" s="101">
        <f>E63+1</f>
        <v>1</v>
      </c>
      <c r="M69" s="97">
        <f>C63+10</f>
        <v>10</v>
      </c>
      <c r="N69" s="98">
        <f>E63+1</f>
        <v>1</v>
      </c>
    </row>
    <row r="70" spans="1:14" ht="13.2">
      <c r="A70" s="260"/>
      <c r="B70" s="101">
        <f>E63</f>
        <v>0</v>
      </c>
      <c r="C70" s="102">
        <f>D63+4</f>
        <v>4</v>
      </c>
      <c r="D70" s="103">
        <f>E63+5</f>
        <v>5</v>
      </c>
      <c r="E70" s="103">
        <f>D63+8</f>
        <v>8</v>
      </c>
      <c r="F70" s="103">
        <f>E63+4</f>
        <v>4</v>
      </c>
      <c r="G70" s="87"/>
      <c r="H70" s="90"/>
      <c r="I70" s="99">
        <v>500</v>
      </c>
      <c r="L70" s="101">
        <f>E63+2</f>
        <v>2</v>
      </c>
      <c r="M70" s="102">
        <f>C63+14</f>
        <v>14</v>
      </c>
      <c r="N70" s="103">
        <f>E63+2</f>
        <v>2</v>
      </c>
    </row>
    <row r="71" spans="1:14" ht="13.2">
      <c r="A71" s="260"/>
      <c r="B71" s="101">
        <f>E63</f>
        <v>0</v>
      </c>
      <c r="C71" s="102">
        <f>D63+5</f>
        <v>5</v>
      </c>
      <c r="D71" s="103">
        <f>E63+6</f>
        <v>6</v>
      </c>
      <c r="E71" s="103">
        <f>D63+10</f>
        <v>10</v>
      </c>
      <c r="F71" s="103">
        <f>E63+5</f>
        <v>5</v>
      </c>
      <c r="G71" s="87"/>
      <c r="H71" s="90"/>
      <c r="I71" s="87"/>
      <c r="L71" s="101">
        <f>E63+3</f>
        <v>3</v>
      </c>
      <c r="M71" s="102">
        <f>C63+17</f>
        <v>17</v>
      </c>
      <c r="N71" s="103">
        <f>E63+3</f>
        <v>3</v>
      </c>
    </row>
    <row r="72" spans="1:14" ht="13.2">
      <c r="A72" s="260"/>
      <c r="B72" s="101">
        <f>E63</f>
        <v>0</v>
      </c>
      <c r="C72" s="102">
        <f>D63+7</f>
        <v>7</v>
      </c>
      <c r="D72" s="103">
        <f>E63+8</f>
        <v>8</v>
      </c>
      <c r="E72" s="103">
        <f>D63+14</f>
        <v>14</v>
      </c>
      <c r="F72" s="103">
        <f>E63+7</f>
        <v>7</v>
      </c>
      <c r="G72" s="87"/>
      <c r="H72" s="90"/>
      <c r="I72" s="87"/>
      <c r="L72" s="101">
        <f>E63+5</f>
        <v>5</v>
      </c>
      <c r="M72" s="102">
        <f>C63+20</f>
        <v>20</v>
      </c>
      <c r="N72" s="103">
        <f>E63+5</f>
        <v>5</v>
      </c>
    </row>
    <row r="73" spans="1:14" ht="13.2"/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SUM(L81:N81)</f>
        <v>12</v>
      </c>
      <c r="G75" s="87">
        <f>SUM(B81:F81)</f>
        <v>16</v>
      </c>
      <c r="H75" s="90">
        <f>(F75*G75)/1000000</f>
        <v>1.92E-4</v>
      </c>
      <c r="I75" s="91">
        <f>I82/H75</f>
        <v>2604166.6666666665</v>
      </c>
      <c r="J75" s="92">
        <f t="shared" ref="J75:K78" si="5">F75+10</f>
        <v>22</v>
      </c>
      <c r="K75" s="92">
        <f t="shared" si="5"/>
        <v>26</v>
      </c>
    </row>
    <row r="76" spans="1:14" ht="13.2">
      <c r="A76" s="260"/>
      <c r="B76" s="89" t="s">
        <v>68</v>
      </c>
      <c r="C76" s="6"/>
      <c r="D76" s="6"/>
      <c r="E76" s="6"/>
      <c r="F76" s="87">
        <f>SUM(L82:N82)</f>
        <v>18</v>
      </c>
      <c r="G76" s="87">
        <f>SUM(B82:F82)</f>
        <v>21</v>
      </c>
      <c r="H76" s="93">
        <f>F76*G76/1000000</f>
        <v>3.7800000000000003E-4</v>
      </c>
      <c r="I76" s="91">
        <f>I82/H76</f>
        <v>1322751.3227513228</v>
      </c>
      <c r="J76" s="92">
        <f t="shared" si="5"/>
        <v>28</v>
      </c>
      <c r="K76" s="92">
        <f t="shared" si="5"/>
        <v>31</v>
      </c>
    </row>
    <row r="77" spans="1:14" ht="13.2">
      <c r="A77" s="260"/>
      <c r="B77" s="89" t="s">
        <v>69</v>
      </c>
      <c r="C77" s="6"/>
      <c r="D77" s="6"/>
      <c r="E77" s="6"/>
      <c r="F77" s="87">
        <f>SUM(L83:N83)</f>
        <v>23</v>
      </c>
      <c r="G77" s="87">
        <f>SUM(B83:F83)</f>
        <v>26</v>
      </c>
      <c r="H77" s="93">
        <f>F77*G77/1000000</f>
        <v>5.9800000000000001E-4</v>
      </c>
      <c r="I77" s="91">
        <f>I82/H77</f>
        <v>836120.40133779263</v>
      </c>
      <c r="J77" s="92">
        <f t="shared" si="5"/>
        <v>33</v>
      </c>
      <c r="K77" s="92">
        <f t="shared" si="5"/>
        <v>36</v>
      </c>
    </row>
    <row r="78" spans="1:14" ht="13.2">
      <c r="A78" s="260"/>
      <c r="B78" s="89" t="s">
        <v>70</v>
      </c>
      <c r="C78" s="6"/>
      <c r="D78" s="6"/>
      <c r="E78" s="6"/>
      <c r="F78" s="87">
        <f>SUM(L84:N84)</f>
        <v>30</v>
      </c>
      <c r="G78" s="87">
        <f>SUM(B84:F84)</f>
        <v>36</v>
      </c>
      <c r="H78" s="93">
        <f>F78*G78/1000000</f>
        <v>1.08E-3</v>
      </c>
      <c r="I78" s="91">
        <f>I82/H78</f>
        <v>462962.96296296298</v>
      </c>
      <c r="J78" s="92">
        <f t="shared" si="5"/>
        <v>40</v>
      </c>
      <c r="K78" s="92">
        <f t="shared" si="5"/>
        <v>46</v>
      </c>
    </row>
    <row r="79" spans="1:14" ht="13.2">
      <c r="A79" s="260"/>
      <c r="E79" t="s">
        <v>35</v>
      </c>
    </row>
    <row r="80" spans="1:14" ht="13.35" customHeight="1">
      <c r="A80" s="260"/>
      <c r="B80" s="263" t="s">
        <v>81</v>
      </c>
      <c r="C80" s="263"/>
      <c r="D80" s="263"/>
      <c r="E80" s="263"/>
      <c r="F80" s="263"/>
      <c r="G80" s="86"/>
      <c r="H80" s="87"/>
      <c r="I80" s="264" t="s">
        <v>63</v>
      </c>
      <c r="L80" s="263" t="s">
        <v>82</v>
      </c>
      <c r="M80" s="263"/>
      <c r="N80" s="263"/>
    </row>
    <row r="81" spans="1:14" ht="13.2">
      <c r="A81" s="260"/>
      <c r="B81" s="101">
        <f>E75</f>
        <v>0</v>
      </c>
      <c r="C81" s="97">
        <f>D75+3</f>
        <v>3</v>
      </c>
      <c r="D81" s="98">
        <f>E75+4</f>
        <v>4</v>
      </c>
      <c r="E81" s="98">
        <f>D75+6</f>
        <v>6</v>
      </c>
      <c r="F81" s="98">
        <f>E75+3</f>
        <v>3</v>
      </c>
      <c r="G81" s="87"/>
      <c r="H81" s="90"/>
      <c r="I81" s="264"/>
      <c r="L81" s="101">
        <f>E75+1</f>
        <v>1</v>
      </c>
      <c r="M81" s="97">
        <f>C75+10</f>
        <v>10</v>
      </c>
      <c r="N81" s="98">
        <f>E75+1</f>
        <v>1</v>
      </c>
    </row>
    <row r="82" spans="1:14" ht="13.2">
      <c r="A82" s="260"/>
      <c r="B82" s="101">
        <f>E75</f>
        <v>0</v>
      </c>
      <c r="C82" s="102">
        <f>D75+4</f>
        <v>4</v>
      </c>
      <c r="D82" s="103">
        <f>E75+5</f>
        <v>5</v>
      </c>
      <c r="E82" s="103">
        <f>D75+8</f>
        <v>8</v>
      </c>
      <c r="F82" s="103">
        <f>E75+4</f>
        <v>4</v>
      </c>
      <c r="G82" s="87"/>
      <c r="H82" s="90"/>
      <c r="I82" s="99">
        <v>500</v>
      </c>
      <c r="L82" s="101">
        <f>E75+2</f>
        <v>2</v>
      </c>
      <c r="M82" s="102">
        <f>C75+14</f>
        <v>14</v>
      </c>
      <c r="N82" s="103">
        <f>E75+2</f>
        <v>2</v>
      </c>
    </row>
    <row r="83" spans="1:14" ht="13.2">
      <c r="A83" s="260"/>
      <c r="B83" s="101">
        <f>E75</f>
        <v>0</v>
      </c>
      <c r="C83" s="102">
        <f>D75+5</f>
        <v>5</v>
      </c>
      <c r="D83" s="103">
        <f>E75+6</f>
        <v>6</v>
      </c>
      <c r="E83" s="103">
        <f>D75+10</f>
        <v>10</v>
      </c>
      <c r="F83" s="103">
        <f>E75+5</f>
        <v>5</v>
      </c>
      <c r="G83" s="87"/>
      <c r="H83" s="90"/>
      <c r="I83" s="87"/>
      <c r="L83" s="101">
        <f>E75+3</f>
        <v>3</v>
      </c>
      <c r="M83" s="102">
        <f>C75+17</f>
        <v>17</v>
      </c>
      <c r="N83" s="103">
        <f>E75+3</f>
        <v>3</v>
      </c>
    </row>
    <row r="84" spans="1:14" ht="13.2">
      <c r="A84" s="260"/>
      <c r="B84" s="101">
        <f>E75</f>
        <v>0</v>
      </c>
      <c r="C84" s="102">
        <f>D75+7</f>
        <v>7</v>
      </c>
      <c r="D84" s="103">
        <f>E75+8</f>
        <v>8</v>
      </c>
      <c r="E84" s="103">
        <f>D75+14</f>
        <v>14</v>
      </c>
      <c r="F84" s="103">
        <f>E75+7</f>
        <v>7</v>
      </c>
      <c r="G84" s="87"/>
      <c r="H84" s="90"/>
      <c r="I84" s="87"/>
      <c r="L84" s="101">
        <f>E75+5</f>
        <v>5</v>
      </c>
      <c r="M84" s="102">
        <f>C75+20</f>
        <v>20</v>
      </c>
      <c r="N84" s="103">
        <f>E75+5</f>
        <v>5</v>
      </c>
    </row>
    <row r="85" spans="1:14" ht="13.2"/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SUM(L93:N93)</f>
        <v>12</v>
      </c>
      <c r="G87" s="87">
        <f>SUM(B93:F93)</f>
        <v>16</v>
      </c>
      <c r="H87" s="90">
        <f>(F87*G87)/1000000</f>
        <v>1.92E-4</v>
      </c>
      <c r="I87" s="91">
        <f>I94/H87</f>
        <v>2604166.6666666665</v>
      </c>
      <c r="J87" s="92">
        <f t="shared" ref="J87:K90" si="6">F87+10</f>
        <v>22</v>
      </c>
      <c r="K87" s="92">
        <f t="shared" si="6"/>
        <v>26</v>
      </c>
    </row>
    <row r="88" spans="1:14" ht="13.2">
      <c r="A88" s="260"/>
      <c r="B88" s="89" t="s">
        <v>68</v>
      </c>
      <c r="C88" s="6"/>
      <c r="D88" s="6"/>
      <c r="E88" s="6"/>
      <c r="F88" s="87">
        <f>SUM(L94:N94)</f>
        <v>18</v>
      </c>
      <c r="G88" s="87">
        <f>SUM(B94:F94)</f>
        <v>21</v>
      </c>
      <c r="H88" s="93">
        <f>F88*G88/1000000</f>
        <v>3.7800000000000003E-4</v>
      </c>
      <c r="I88" s="91">
        <f>I94/H88</f>
        <v>1322751.3227513228</v>
      </c>
      <c r="J88" s="92">
        <f t="shared" si="6"/>
        <v>28</v>
      </c>
      <c r="K88" s="92">
        <f t="shared" si="6"/>
        <v>31</v>
      </c>
    </row>
    <row r="89" spans="1:14" ht="13.2">
      <c r="A89" s="260"/>
      <c r="B89" s="89" t="s">
        <v>69</v>
      </c>
      <c r="C89" s="6"/>
      <c r="D89" s="6"/>
      <c r="E89" s="6"/>
      <c r="F89" s="87">
        <f>SUM(L95:N95)</f>
        <v>23</v>
      </c>
      <c r="G89" s="87">
        <f>SUM(B95:F95)</f>
        <v>26</v>
      </c>
      <c r="H89" s="93">
        <f>F89*G89/1000000</f>
        <v>5.9800000000000001E-4</v>
      </c>
      <c r="I89" s="91">
        <f>I94/H89</f>
        <v>836120.40133779263</v>
      </c>
      <c r="J89" s="92">
        <f t="shared" si="6"/>
        <v>33</v>
      </c>
      <c r="K89" s="92">
        <f t="shared" si="6"/>
        <v>36</v>
      </c>
    </row>
    <row r="90" spans="1:14" ht="13.2">
      <c r="A90" s="260"/>
      <c r="B90" s="89" t="s">
        <v>70</v>
      </c>
      <c r="C90" s="6"/>
      <c r="D90" s="6"/>
      <c r="E90" s="6"/>
      <c r="F90" s="87">
        <f>SUM(L96:N96)</f>
        <v>30</v>
      </c>
      <c r="G90" s="87">
        <f>SUM(B96:F96)</f>
        <v>36</v>
      </c>
      <c r="H90" s="93">
        <f>F90*G90/1000000</f>
        <v>1.08E-3</v>
      </c>
      <c r="I90" s="91">
        <f>I94/H90</f>
        <v>462962.96296296298</v>
      </c>
      <c r="J90" s="92">
        <f t="shared" si="6"/>
        <v>40</v>
      </c>
      <c r="K90" s="92">
        <f t="shared" si="6"/>
        <v>46</v>
      </c>
    </row>
    <row r="91" spans="1:14" ht="13.2">
      <c r="A91" s="260"/>
      <c r="E91" t="s">
        <v>35</v>
      </c>
    </row>
    <row r="92" spans="1:14" ht="13.35" customHeight="1">
      <c r="A92" s="260"/>
      <c r="B92" s="263" t="s">
        <v>81</v>
      </c>
      <c r="C92" s="263"/>
      <c r="D92" s="263"/>
      <c r="E92" s="263"/>
      <c r="F92" s="263"/>
      <c r="G92" s="86"/>
      <c r="H92" s="87"/>
      <c r="I92" s="264" t="s">
        <v>63</v>
      </c>
      <c r="L92" s="263" t="s">
        <v>82</v>
      </c>
      <c r="M92" s="263"/>
      <c r="N92" s="263"/>
    </row>
    <row r="93" spans="1:14" ht="13.2">
      <c r="A93" s="260"/>
      <c r="B93" s="101">
        <f>E87</f>
        <v>0</v>
      </c>
      <c r="C93" s="97">
        <f>D87+3</f>
        <v>3</v>
      </c>
      <c r="D93" s="98">
        <f>E87+4</f>
        <v>4</v>
      </c>
      <c r="E93" s="98">
        <f>D87+6</f>
        <v>6</v>
      </c>
      <c r="F93" s="98">
        <f>E87+3</f>
        <v>3</v>
      </c>
      <c r="G93" s="87"/>
      <c r="H93" s="90"/>
      <c r="I93" s="264"/>
      <c r="L93" s="101">
        <f>E87+1</f>
        <v>1</v>
      </c>
      <c r="M93" s="97">
        <f>C87+10</f>
        <v>10</v>
      </c>
      <c r="N93" s="98">
        <f>E87+1</f>
        <v>1</v>
      </c>
    </row>
    <row r="94" spans="1:14" ht="13.2">
      <c r="A94" s="260"/>
      <c r="B94" s="101">
        <f>E87</f>
        <v>0</v>
      </c>
      <c r="C94" s="102">
        <f>D87+4</f>
        <v>4</v>
      </c>
      <c r="D94" s="103">
        <f>E87+5</f>
        <v>5</v>
      </c>
      <c r="E94" s="103">
        <f>D87+8</f>
        <v>8</v>
      </c>
      <c r="F94" s="103">
        <f>E87+4</f>
        <v>4</v>
      </c>
      <c r="G94" s="87"/>
      <c r="H94" s="90"/>
      <c r="I94" s="99">
        <v>500</v>
      </c>
      <c r="L94" s="101">
        <f>E87+2</f>
        <v>2</v>
      </c>
      <c r="M94" s="102">
        <f>C87+14</f>
        <v>14</v>
      </c>
      <c r="N94" s="103">
        <f>E87+2</f>
        <v>2</v>
      </c>
    </row>
    <row r="95" spans="1:14" ht="13.2">
      <c r="A95" s="260"/>
      <c r="B95" s="101">
        <f>E87</f>
        <v>0</v>
      </c>
      <c r="C95" s="102">
        <f>D87+5</f>
        <v>5</v>
      </c>
      <c r="D95" s="103">
        <f>E87+6</f>
        <v>6</v>
      </c>
      <c r="E95" s="103">
        <f>D87+10</f>
        <v>10</v>
      </c>
      <c r="F95" s="103">
        <f>E87+5</f>
        <v>5</v>
      </c>
      <c r="G95" s="87"/>
      <c r="H95" s="90"/>
      <c r="I95" s="87"/>
      <c r="L95" s="101">
        <f>E87+3</f>
        <v>3</v>
      </c>
      <c r="M95" s="102">
        <f>C87+17</f>
        <v>17</v>
      </c>
      <c r="N95" s="103">
        <f>E87+3</f>
        <v>3</v>
      </c>
    </row>
    <row r="96" spans="1:14" ht="13.2">
      <c r="A96" s="260"/>
      <c r="B96" s="101">
        <f>E87</f>
        <v>0</v>
      </c>
      <c r="C96" s="102">
        <f>D87+7</f>
        <v>7</v>
      </c>
      <c r="D96" s="103">
        <f>E87+8</f>
        <v>8</v>
      </c>
      <c r="E96" s="103">
        <f>D87+14</f>
        <v>14</v>
      </c>
      <c r="F96" s="103">
        <f>E87+7</f>
        <v>7</v>
      </c>
      <c r="G96" s="87"/>
      <c r="H96" s="90"/>
      <c r="I96" s="87"/>
      <c r="L96" s="101">
        <f>E87+5</f>
        <v>5</v>
      </c>
      <c r="M96" s="102">
        <f>C87+20</f>
        <v>20</v>
      </c>
      <c r="N96" s="103">
        <f>E87+5</f>
        <v>5</v>
      </c>
    </row>
    <row r="97" spans="1:14" ht="13.2"/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SUM(L105:N105)</f>
        <v>12</v>
      </c>
      <c r="G99" s="87">
        <f>SUM(B105:F105)</f>
        <v>16</v>
      </c>
      <c r="H99" s="90">
        <f>(F99*G99)/1000000</f>
        <v>1.92E-4</v>
      </c>
      <c r="I99" s="91">
        <f>I106/H99</f>
        <v>2604166.6666666665</v>
      </c>
      <c r="J99" s="92">
        <f t="shared" ref="J99:K102" si="7">F99+10</f>
        <v>22</v>
      </c>
      <c r="K99" s="92">
        <f t="shared" si="7"/>
        <v>26</v>
      </c>
    </row>
    <row r="100" spans="1:14" ht="13.2">
      <c r="A100" s="260"/>
      <c r="B100" s="89" t="s">
        <v>68</v>
      </c>
      <c r="C100" s="6"/>
      <c r="D100" s="6"/>
      <c r="E100" s="6"/>
      <c r="F100" s="87">
        <f>SUM(L106:N106)</f>
        <v>18</v>
      </c>
      <c r="G100" s="87">
        <f>SUM(B106:F106)</f>
        <v>21</v>
      </c>
      <c r="H100" s="93">
        <f>F100*G100/1000000</f>
        <v>3.7800000000000003E-4</v>
      </c>
      <c r="I100" s="91">
        <f>I106/H100</f>
        <v>1322751.3227513228</v>
      </c>
      <c r="J100" s="92">
        <f t="shared" si="7"/>
        <v>28</v>
      </c>
      <c r="K100" s="92">
        <f t="shared" si="7"/>
        <v>31</v>
      </c>
    </row>
    <row r="101" spans="1:14" ht="13.2">
      <c r="A101" s="260"/>
      <c r="B101" s="89" t="s">
        <v>69</v>
      </c>
      <c r="C101" s="6"/>
      <c r="D101" s="6"/>
      <c r="E101" s="6"/>
      <c r="F101" s="87">
        <f>SUM(L107:N107)</f>
        <v>23</v>
      </c>
      <c r="G101" s="87">
        <f>SUM(B107:F107)</f>
        <v>26</v>
      </c>
      <c r="H101" s="93">
        <f>F101*G101/1000000</f>
        <v>5.9800000000000001E-4</v>
      </c>
      <c r="I101" s="91">
        <f>I106/H101</f>
        <v>836120.40133779263</v>
      </c>
      <c r="J101" s="92">
        <f t="shared" si="7"/>
        <v>33</v>
      </c>
      <c r="K101" s="92">
        <f t="shared" si="7"/>
        <v>36</v>
      </c>
    </row>
    <row r="102" spans="1:14" ht="13.2">
      <c r="A102" s="260"/>
      <c r="B102" s="89" t="s">
        <v>70</v>
      </c>
      <c r="C102" s="6"/>
      <c r="D102" s="6"/>
      <c r="E102" s="6"/>
      <c r="F102" s="87">
        <f>SUM(L108:N108)</f>
        <v>30</v>
      </c>
      <c r="G102" s="87">
        <f>SUM(B108:F108)</f>
        <v>36</v>
      </c>
      <c r="H102" s="93">
        <f>F102*G102/1000000</f>
        <v>1.08E-3</v>
      </c>
      <c r="I102" s="91">
        <f>I106/H102</f>
        <v>462962.96296296298</v>
      </c>
      <c r="J102" s="92">
        <f t="shared" si="7"/>
        <v>40</v>
      </c>
      <c r="K102" s="92">
        <f t="shared" si="7"/>
        <v>46</v>
      </c>
    </row>
    <row r="103" spans="1:14" ht="13.2">
      <c r="A103" s="260"/>
      <c r="E103" t="s">
        <v>35</v>
      </c>
    </row>
    <row r="104" spans="1:14" ht="13.35" customHeight="1">
      <c r="A104" s="260"/>
      <c r="B104" s="263" t="s">
        <v>81</v>
      </c>
      <c r="C104" s="263"/>
      <c r="D104" s="263"/>
      <c r="E104" s="263"/>
      <c r="F104" s="263"/>
      <c r="G104" s="86"/>
      <c r="H104" s="87"/>
      <c r="I104" s="264" t="s">
        <v>63</v>
      </c>
      <c r="L104" s="263" t="s">
        <v>82</v>
      </c>
      <c r="M104" s="263"/>
      <c r="N104" s="263"/>
    </row>
    <row r="105" spans="1:14" ht="13.2">
      <c r="A105" s="260"/>
      <c r="B105" s="101">
        <f>E99</f>
        <v>0</v>
      </c>
      <c r="C105" s="97">
        <f>D99+3</f>
        <v>3</v>
      </c>
      <c r="D105" s="98">
        <f>E99+4</f>
        <v>4</v>
      </c>
      <c r="E105" s="98">
        <f>D99+6</f>
        <v>6</v>
      </c>
      <c r="F105" s="98">
        <f>E99+3</f>
        <v>3</v>
      </c>
      <c r="G105" s="87"/>
      <c r="H105" s="90"/>
      <c r="I105" s="264"/>
      <c r="L105" s="101">
        <f>E99+1</f>
        <v>1</v>
      </c>
      <c r="M105" s="97">
        <f>C99+10</f>
        <v>10</v>
      </c>
      <c r="N105" s="98">
        <f>E99+1</f>
        <v>1</v>
      </c>
    </row>
    <row r="106" spans="1:14" ht="13.2">
      <c r="A106" s="260"/>
      <c r="B106" s="101">
        <f>E99</f>
        <v>0</v>
      </c>
      <c r="C106" s="102">
        <f>D99+4</f>
        <v>4</v>
      </c>
      <c r="D106" s="103">
        <f>E99+5</f>
        <v>5</v>
      </c>
      <c r="E106" s="103">
        <f>D99+8</f>
        <v>8</v>
      </c>
      <c r="F106" s="103">
        <f>E99+4</f>
        <v>4</v>
      </c>
      <c r="G106" s="87"/>
      <c r="H106" s="90"/>
      <c r="I106" s="99">
        <v>500</v>
      </c>
      <c r="L106" s="101">
        <f>E99+2</f>
        <v>2</v>
      </c>
      <c r="M106" s="102">
        <f>C99+14</f>
        <v>14</v>
      </c>
      <c r="N106" s="103">
        <f>E99+2</f>
        <v>2</v>
      </c>
    </row>
    <row r="107" spans="1:14" ht="13.2">
      <c r="A107" s="260"/>
      <c r="B107" s="101">
        <f>E99</f>
        <v>0</v>
      </c>
      <c r="C107" s="102">
        <f>D99+5</f>
        <v>5</v>
      </c>
      <c r="D107" s="103">
        <f>E99+6</f>
        <v>6</v>
      </c>
      <c r="E107" s="103">
        <f>D99+10</f>
        <v>10</v>
      </c>
      <c r="F107" s="103">
        <f>E99+5</f>
        <v>5</v>
      </c>
      <c r="G107" s="87"/>
      <c r="H107" s="90"/>
      <c r="I107" s="87"/>
      <c r="L107" s="101">
        <f>E99+3</f>
        <v>3</v>
      </c>
      <c r="M107" s="102">
        <f>C99+17</f>
        <v>17</v>
      </c>
      <c r="N107" s="103">
        <f>E99+3</f>
        <v>3</v>
      </c>
    </row>
    <row r="108" spans="1:14" ht="13.2">
      <c r="A108" s="260"/>
      <c r="B108" s="101">
        <f>E99</f>
        <v>0</v>
      </c>
      <c r="C108" s="102">
        <f>D99+7</f>
        <v>7</v>
      </c>
      <c r="D108" s="103">
        <f>E99+8</f>
        <v>8</v>
      </c>
      <c r="E108" s="103">
        <f>D99+14</f>
        <v>14</v>
      </c>
      <c r="F108" s="103">
        <f>E99+7</f>
        <v>7</v>
      </c>
      <c r="G108" s="87"/>
      <c r="H108" s="90"/>
      <c r="I108" s="87"/>
      <c r="L108" s="101">
        <f>E99+5</f>
        <v>5</v>
      </c>
      <c r="M108" s="102">
        <f>C99+20</f>
        <v>20</v>
      </c>
      <c r="N108" s="103">
        <f>E99+5</f>
        <v>5</v>
      </c>
    </row>
    <row r="109" spans="1:14" ht="13.2"/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SUM(L117:N117)</f>
        <v>12</v>
      </c>
      <c r="G111" s="87">
        <f>SUM(B117:F117)</f>
        <v>16</v>
      </c>
      <c r="H111" s="90">
        <f>(F111*G111)/1000000</f>
        <v>1.92E-4</v>
      </c>
      <c r="I111" s="91">
        <f>I118/H111</f>
        <v>2604166.6666666665</v>
      </c>
      <c r="J111" s="92">
        <f t="shared" ref="J111:K114" si="8">F111+10</f>
        <v>22</v>
      </c>
      <c r="K111" s="92">
        <f t="shared" si="8"/>
        <v>26</v>
      </c>
    </row>
    <row r="112" spans="1:14" ht="13.2">
      <c r="A112" s="260"/>
      <c r="B112" s="89" t="s">
        <v>68</v>
      </c>
      <c r="C112" s="6"/>
      <c r="D112" s="6"/>
      <c r="E112" s="6"/>
      <c r="F112" s="87">
        <f>SUM(L118:N118)</f>
        <v>18</v>
      </c>
      <c r="G112" s="87">
        <f>SUM(B118:F118)</f>
        <v>21</v>
      </c>
      <c r="H112" s="93">
        <f>F112*G112/1000000</f>
        <v>3.7800000000000003E-4</v>
      </c>
      <c r="I112" s="91">
        <f>I118/H112</f>
        <v>1322751.3227513228</v>
      </c>
      <c r="J112" s="92">
        <f t="shared" si="8"/>
        <v>28</v>
      </c>
      <c r="K112" s="92">
        <f t="shared" si="8"/>
        <v>31</v>
      </c>
    </row>
    <row r="113" spans="1:14" ht="13.2">
      <c r="A113" s="260"/>
      <c r="B113" s="89" t="s">
        <v>69</v>
      </c>
      <c r="C113" s="6"/>
      <c r="D113" s="6"/>
      <c r="E113" s="6"/>
      <c r="F113" s="87">
        <f>SUM(L119:N119)</f>
        <v>23</v>
      </c>
      <c r="G113" s="87">
        <f>SUM(B119:F119)</f>
        <v>26</v>
      </c>
      <c r="H113" s="93">
        <f>F113*G113/1000000</f>
        <v>5.9800000000000001E-4</v>
      </c>
      <c r="I113" s="91">
        <f>I118/H113</f>
        <v>836120.40133779263</v>
      </c>
      <c r="J113" s="92">
        <f t="shared" si="8"/>
        <v>33</v>
      </c>
      <c r="K113" s="92">
        <f t="shared" si="8"/>
        <v>36</v>
      </c>
    </row>
    <row r="114" spans="1:14" ht="13.2">
      <c r="A114" s="260"/>
      <c r="B114" s="89" t="s">
        <v>70</v>
      </c>
      <c r="C114" s="6"/>
      <c r="D114" s="6"/>
      <c r="E114" s="6"/>
      <c r="F114" s="87">
        <f>SUM(L120:N120)</f>
        <v>30</v>
      </c>
      <c r="G114" s="87">
        <f>SUM(B120:F120)</f>
        <v>36</v>
      </c>
      <c r="H114" s="93">
        <f>F114*G114/1000000</f>
        <v>1.08E-3</v>
      </c>
      <c r="I114" s="91">
        <f>I118/H114</f>
        <v>462962.96296296298</v>
      </c>
      <c r="J114" s="92">
        <f t="shared" si="8"/>
        <v>40</v>
      </c>
      <c r="K114" s="92">
        <f t="shared" si="8"/>
        <v>46</v>
      </c>
    </row>
    <row r="115" spans="1:14" ht="13.2">
      <c r="A115" s="260"/>
      <c r="E115" t="s">
        <v>35</v>
      </c>
    </row>
    <row r="116" spans="1:14" ht="13.35" customHeight="1">
      <c r="A116" s="260"/>
      <c r="B116" s="263" t="s">
        <v>81</v>
      </c>
      <c r="C116" s="263"/>
      <c r="D116" s="263"/>
      <c r="E116" s="263"/>
      <c r="F116" s="263"/>
      <c r="G116" s="86"/>
      <c r="H116" s="87"/>
      <c r="I116" s="264" t="s">
        <v>63</v>
      </c>
      <c r="L116" s="263" t="s">
        <v>82</v>
      </c>
      <c r="M116" s="263"/>
      <c r="N116" s="263"/>
    </row>
    <row r="117" spans="1:14" ht="13.2">
      <c r="A117" s="260"/>
      <c r="B117" s="101">
        <f>E111</f>
        <v>0</v>
      </c>
      <c r="C117" s="97">
        <f>D111+3</f>
        <v>3</v>
      </c>
      <c r="D117" s="98">
        <f>E111+4</f>
        <v>4</v>
      </c>
      <c r="E117" s="98">
        <f>D111+6</f>
        <v>6</v>
      </c>
      <c r="F117" s="98">
        <f>E111+3</f>
        <v>3</v>
      </c>
      <c r="G117" s="87"/>
      <c r="H117" s="90"/>
      <c r="I117" s="264"/>
      <c r="L117" s="101">
        <f>E111+1</f>
        <v>1</v>
      </c>
      <c r="M117" s="97">
        <f>C111+10</f>
        <v>10</v>
      </c>
      <c r="N117" s="98">
        <f>E111+1</f>
        <v>1</v>
      </c>
    </row>
    <row r="118" spans="1:14" ht="13.2">
      <c r="A118" s="260"/>
      <c r="B118" s="101">
        <f>E111</f>
        <v>0</v>
      </c>
      <c r="C118" s="102">
        <f>D111+4</f>
        <v>4</v>
      </c>
      <c r="D118" s="103">
        <f>E111+5</f>
        <v>5</v>
      </c>
      <c r="E118" s="103">
        <f>D111+8</f>
        <v>8</v>
      </c>
      <c r="F118" s="103">
        <f>E111+4</f>
        <v>4</v>
      </c>
      <c r="G118" s="87"/>
      <c r="H118" s="90"/>
      <c r="I118" s="99">
        <v>500</v>
      </c>
      <c r="L118" s="101">
        <f>E111+2</f>
        <v>2</v>
      </c>
      <c r="M118" s="102">
        <f>C111+14</f>
        <v>14</v>
      </c>
      <c r="N118" s="103">
        <f>E111+2</f>
        <v>2</v>
      </c>
    </row>
    <row r="119" spans="1:14" ht="13.2">
      <c r="A119" s="260"/>
      <c r="B119" s="101">
        <f>E111</f>
        <v>0</v>
      </c>
      <c r="C119" s="102">
        <f>D111+5</f>
        <v>5</v>
      </c>
      <c r="D119" s="103">
        <f>E111+6</f>
        <v>6</v>
      </c>
      <c r="E119" s="103">
        <f>D111+10</f>
        <v>10</v>
      </c>
      <c r="F119" s="103">
        <f>E111+5</f>
        <v>5</v>
      </c>
      <c r="G119" s="87"/>
      <c r="H119" s="90"/>
      <c r="I119" s="87"/>
      <c r="L119" s="101">
        <f>E111+3</f>
        <v>3</v>
      </c>
      <c r="M119" s="102">
        <f>C111+17</f>
        <v>17</v>
      </c>
      <c r="N119" s="103">
        <f>E111+3</f>
        <v>3</v>
      </c>
    </row>
    <row r="120" spans="1:14" ht="13.2">
      <c r="A120" s="260"/>
      <c r="B120" s="101">
        <f>E111</f>
        <v>0</v>
      </c>
      <c r="C120" s="102">
        <f>D111+7</f>
        <v>7</v>
      </c>
      <c r="D120" s="103">
        <f>E111+8</f>
        <v>8</v>
      </c>
      <c r="E120" s="103">
        <f>D111+14</f>
        <v>14</v>
      </c>
      <c r="F120" s="103">
        <f>E111+7</f>
        <v>7</v>
      </c>
      <c r="G120" s="87"/>
      <c r="H120" s="90"/>
      <c r="I120" s="87"/>
      <c r="L120" s="101">
        <f>E111+5</f>
        <v>5</v>
      </c>
      <c r="M120" s="102">
        <f>C111+20</f>
        <v>20</v>
      </c>
      <c r="N120" s="103">
        <f>E111+5</f>
        <v>5</v>
      </c>
    </row>
  </sheetData>
  <mergeCells count="60">
    <mergeCell ref="L8:N8"/>
    <mergeCell ref="A14:A24"/>
    <mergeCell ref="F14:G14"/>
    <mergeCell ref="J14:K14"/>
    <mergeCell ref="B20:F20"/>
    <mergeCell ref="I20:I21"/>
    <mergeCell ref="L20:N20"/>
    <mergeCell ref="A2:A12"/>
    <mergeCell ref="F2:G2"/>
    <mergeCell ref="J2:K2"/>
    <mergeCell ref="B8:F8"/>
    <mergeCell ref="I8:I9"/>
    <mergeCell ref="L32:N32"/>
    <mergeCell ref="A38:A48"/>
    <mergeCell ref="F38:G38"/>
    <mergeCell ref="J38:K38"/>
    <mergeCell ref="B44:F44"/>
    <mergeCell ref="I44:I45"/>
    <mergeCell ref="L44:N44"/>
    <mergeCell ref="A26:A36"/>
    <mergeCell ref="F26:G26"/>
    <mergeCell ref="J26:K26"/>
    <mergeCell ref="B32:F32"/>
    <mergeCell ref="I32:I33"/>
    <mergeCell ref="L56:N56"/>
    <mergeCell ref="A62:A72"/>
    <mergeCell ref="F62:G62"/>
    <mergeCell ref="J62:K62"/>
    <mergeCell ref="B68:F68"/>
    <mergeCell ref="I68:I69"/>
    <mergeCell ref="L68:N68"/>
    <mergeCell ref="A50:A60"/>
    <mergeCell ref="F50:G50"/>
    <mergeCell ref="J50:K50"/>
    <mergeCell ref="B56:F56"/>
    <mergeCell ref="I56:I57"/>
    <mergeCell ref="L80:N80"/>
    <mergeCell ref="A86:A96"/>
    <mergeCell ref="F86:G86"/>
    <mergeCell ref="J86:K86"/>
    <mergeCell ref="B92:F92"/>
    <mergeCell ref="I92:I93"/>
    <mergeCell ref="L92:N92"/>
    <mergeCell ref="A74:A84"/>
    <mergeCell ref="F74:G74"/>
    <mergeCell ref="J74:K74"/>
    <mergeCell ref="B80:F80"/>
    <mergeCell ref="I80:I81"/>
    <mergeCell ref="L104:N104"/>
    <mergeCell ref="A110:A120"/>
    <mergeCell ref="F110:G110"/>
    <mergeCell ref="J110:K110"/>
    <mergeCell ref="B116:F116"/>
    <mergeCell ref="I116:I117"/>
    <mergeCell ref="L116:N116"/>
    <mergeCell ref="A98:A108"/>
    <mergeCell ref="F98:G98"/>
    <mergeCell ref="J98:K98"/>
    <mergeCell ref="B104:F104"/>
    <mergeCell ref="I104:I105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C000"/>
    <pageSetUpPr fitToPage="1"/>
  </sheetPr>
  <dimension ref="A1:Q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7" ht="13.2">
      <c r="M1" s="266" t="s">
        <v>73</v>
      </c>
      <c r="N1" s="266"/>
      <c r="O1" s="116" t="s">
        <v>83</v>
      </c>
      <c r="P1" s="108" t="s">
        <v>84</v>
      </c>
      <c r="Q1" s="108" t="s">
        <v>84</v>
      </c>
    </row>
    <row r="2" spans="1:17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  <c r="P2" s="88">
        <v>6</v>
      </c>
      <c r="Q2" s="88">
        <v>6</v>
      </c>
    </row>
    <row r="3" spans="1:17" ht="13.2">
      <c r="A3" s="260"/>
      <c r="B3" s="118">
        <f>VLOOKUP(Kalk!K4,$M$2:$N$8,2,0)</f>
        <v>7</v>
      </c>
      <c r="C3" s="85">
        <f>Kalk!C4</f>
        <v>0</v>
      </c>
      <c r="D3" s="85">
        <f>Kalk!E4</f>
        <v>0</v>
      </c>
      <c r="E3" s="85">
        <f>Kalk!G4</f>
        <v>0</v>
      </c>
      <c r="F3" s="87">
        <f>2*E3+D3+B3</f>
        <v>7</v>
      </c>
      <c r="G3" s="87">
        <f>C3+4*E3+13*B3</f>
        <v>91</v>
      </c>
      <c r="H3" s="90">
        <f>(F3*G3)/1000000</f>
        <v>6.3699999999999998E-4</v>
      </c>
      <c r="I3" s="91">
        <f>I10/H3</f>
        <v>784929.35635792778</v>
      </c>
      <c r="J3" s="92">
        <f>C3+4*E3+13*B3</f>
        <v>91</v>
      </c>
      <c r="K3" s="92">
        <f>2*E3+D3+B3</f>
        <v>7</v>
      </c>
      <c r="M3" s="109" t="s">
        <v>77</v>
      </c>
      <c r="N3" s="110">
        <v>3</v>
      </c>
      <c r="O3" s="117">
        <v>700</v>
      </c>
      <c r="P3" s="110">
        <v>9</v>
      </c>
      <c r="Q3" s="110">
        <v>9</v>
      </c>
    </row>
    <row r="4" spans="1:17" ht="13.2">
      <c r="A4" s="260"/>
      <c r="B4" s="89"/>
      <c r="C4" s="6"/>
      <c r="D4" s="6"/>
      <c r="E4" s="6"/>
      <c r="F4" s="87">
        <f>2*E3+D3+B3</f>
        <v>7</v>
      </c>
      <c r="G4" s="87">
        <f>C3+4*E3+13*B3</f>
        <v>91</v>
      </c>
      <c r="H4" s="90">
        <f>(F4*G4)/1000000</f>
        <v>6.3699999999999998E-4</v>
      </c>
      <c r="I4" s="91">
        <f>I10/H4</f>
        <v>784929.35635792778</v>
      </c>
      <c r="J4" s="92">
        <f>C3+4*E3+13*B3</f>
        <v>91</v>
      </c>
      <c r="K4" s="92">
        <f>2*E3+D3+B3</f>
        <v>7</v>
      </c>
      <c r="M4" s="111" t="s">
        <v>78</v>
      </c>
      <c r="N4" s="112">
        <v>4</v>
      </c>
      <c r="O4" s="117">
        <v>500</v>
      </c>
      <c r="P4" s="112">
        <v>12</v>
      </c>
      <c r="Q4" s="112">
        <v>12</v>
      </c>
    </row>
    <row r="5" spans="1:17" ht="13.2">
      <c r="A5" s="260"/>
      <c r="B5" s="89"/>
      <c r="C5" s="6"/>
      <c r="D5" s="6"/>
      <c r="E5" s="6"/>
      <c r="F5" s="87">
        <f>2*E3+D3+B3</f>
        <v>7</v>
      </c>
      <c r="G5" s="87">
        <f>C3+4*E3+13*B3</f>
        <v>91</v>
      </c>
      <c r="H5" s="90">
        <f>(F5*G5)/1000000</f>
        <v>6.3699999999999998E-4</v>
      </c>
      <c r="I5" s="91">
        <f>I10/H5</f>
        <v>784929.35635792778</v>
      </c>
      <c r="J5" s="92">
        <f>C3+4*E3+13*B3</f>
        <v>91</v>
      </c>
      <c r="K5" s="92">
        <f>2*E3+D3+B3</f>
        <v>7</v>
      </c>
      <c r="M5" s="113" t="s">
        <v>79</v>
      </c>
      <c r="N5" s="114">
        <v>5</v>
      </c>
      <c r="O5" s="117">
        <v>420</v>
      </c>
      <c r="P5" s="114">
        <v>15</v>
      </c>
      <c r="Q5" s="114">
        <v>15</v>
      </c>
    </row>
    <row r="6" spans="1:17" ht="13.2">
      <c r="A6" s="260"/>
      <c r="B6" s="89"/>
      <c r="C6" s="6"/>
      <c r="D6" s="6"/>
      <c r="E6" s="6"/>
      <c r="F6" s="87">
        <f>2*E3+D3+B3</f>
        <v>7</v>
      </c>
      <c r="G6" s="87">
        <f>C3+4*E3+13*B3</f>
        <v>91</v>
      </c>
      <c r="H6" s="90">
        <f>(F6*G6)/1000000</f>
        <v>6.3699999999999998E-4</v>
      </c>
      <c r="I6" s="91">
        <f>I10/H6</f>
        <v>784929.35635792778</v>
      </c>
      <c r="J6" s="92">
        <f>C3+4*E3+13*B3</f>
        <v>91</v>
      </c>
      <c r="K6" s="92">
        <f>2*E3+D3+B3</f>
        <v>7</v>
      </c>
      <c r="M6" s="115" t="s">
        <v>80</v>
      </c>
      <c r="N6" s="114">
        <v>7</v>
      </c>
      <c r="O6" s="117">
        <v>300</v>
      </c>
      <c r="P6" s="114">
        <v>21</v>
      </c>
      <c r="Q6" s="114">
        <v>21</v>
      </c>
    </row>
    <row r="7" spans="1:17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13</v>
      </c>
      <c r="O7" s="117">
        <v>160</v>
      </c>
      <c r="P7" s="114">
        <v>39</v>
      </c>
      <c r="Q7" s="114">
        <v>39</v>
      </c>
    </row>
    <row r="8" spans="1:17" ht="13.35" customHeight="1">
      <c r="A8" s="260"/>
      <c r="B8" s="118">
        <f>VLOOKUP(Kalk!K4,$M$2:$P$9,3,0)</f>
        <v>300</v>
      </c>
      <c r="C8" s="112"/>
      <c r="D8" s="120"/>
      <c r="E8" s="119"/>
      <c r="F8" s="121"/>
      <c r="G8" s="121"/>
      <c r="H8" s="87"/>
      <c r="I8" s="264" t="s">
        <v>63</v>
      </c>
      <c r="M8" s="122"/>
      <c r="N8" s="123"/>
      <c r="O8" s="123"/>
    </row>
    <row r="9" spans="1:17" ht="13.2">
      <c r="A9" s="260"/>
      <c r="B9" s="113"/>
      <c r="C9" s="114"/>
      <c r="D9" s="114"/>
      <c r="E9" s="111"/>
      <c r="F9" s="110"/>
      <c r="G9" s="110"/>
      <c r="H9" s="90"/>
      <c r="I9" s="264"/>
      <c r="M9" s="122"/>
      <c r="N9" s="123"/>
      <c r="O9" s="123"/>
    </row>
    <row r="10" spans="1:17" ht="13.2">
      <c r="A10" s="260"/>
      <c r="B10" s="115"/>
      <c r="C10" s="114"/>
      <c r="D10" s="114"/>
      <c r="E10" s="111"/>
      <c r="F10" s="110"/>
      <c r="G10" s="110"/>
      <c r="H10" s="90"/>
      <c r="I10" s="99">
        <v>500</v>
      </c>
    </row>
    <row r="11" spans="1:17" ht="13.2">
      <c r="A11" s="260"/>
      <c r="B11" s="117"/>
      <c r="C11" s="117"/>
      <c r="D11" s="117"/>
      <c r="E11" s="117"/>
      <c r="F11" s="117"/>
      <c r="G11" s="117"/>
      <c r="H11" s="117"/>
      <c r="I11" s="117"/>
    </row>
    <row r="12" spans="1:17" ht="13.2">
      <c r="A12" s="260"/>
      <c r="B12" s="117"/>
      <c r="C12" s="117"/>
      <c r="D12" s="117"/>
      <c r="E12" s="117"/>
      <c r="F12" s="117"/>
      <c r="G12" s="117"/>
      <c r="H12" s="117"/>
      <c r="I12" s="117"/>
    </row>
    <row r="13" spans="1:17" ht="13.2"/>
    <row r="14" spans="1:17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7" ht="13.2">
      <c r="A15" s="260"/>
      <c r="B15" s="118">
        <f>VLOOKUP(Kalk!K8,$M$2:$N$8,2,0)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2*E15+D15+B15</f>
        <v>7</v>
      </c>
      <c r="G15" s="87">
        <f>C15+4*E15+13*B15</f>
        <v>91</v>
      </c>
      <c r="H15" s="90">
        <f>(F15*G15)/1000000</f>
        <v>6.3699999999999998E-4</v>
      </c>
      <c r="I15" s="91">
        <f>I22/H15</f>
        <v>784929.35635792778</v>
      </c>
      <c r="J15" s="92">
        <f>C15+4*E15+13*B15</f>
        <v>91</v>
      </c>
      <c r="K15" s="92">
        <f>2*E15+D15+B15</f>
        <v>7</v>
      </c>
    </row>
    <row r="16" spans="1:17" ht="13.2">
      <c r="A16" s="260"/>
      <c r="B16" s="89"/>
      <c r="C16" s="6"/>
      <c r="D16" s="6"/>
      <c r="E16" s="6"/>
      <c r="F16" s="87">
        <f>2*E15+D15+B15</f>
        <v>7</v>
      </c>
      <c r="G16" s="87">
        <f>C15+4*E15+13*B15</f>
        <v>91</v>
      </c>
      <c r="H16" s="93">
        <f>F16*G16/1000000</f>
        <v>6.3699999999999998E-4</v>
      </c>
      <c r="I16" s="91">
        <f>I22/H16</f>
        <v>784929.35635792778</v>
      </c>
      <c r="J16" s="92">
        <f>C15+4*E15+13*B15</f>
        <v>91</v>
      </c>
      <c r="K16" s="92">
        <f>2*E15+D15+B15</f>
        <v>7</v>
      </c>
    </row>
    <row r="17" spans="1:11" ht="13.2">
      <c r="A17" s="260"/>
      <c r="B17" s="89"/>
      <c r="C17" s="6"/>
      <c r="D17" s="6"/>
      <c r="E17" s="6"/>
      <c r="F17" s="87">
        <f>2*E15+D15+B15</f>
        <v>7</v>
      </c>
      <c r="G17" s="87">
        <f>C15+4*E15+13*B15</f>
        <v>91</v>
      </c>
      <c r="H17" s="93">
        <f>F17*G17/1000000</f>
        <v>6.3699999999999998E-4</v>
      </c>
      <c r="I17" s="91">
        <f>I22/H17</f>
        <v>784929.35635792778</v>
      </c>
      <c r="J17" s="92">
        <f>C15+4*E15+13*B15</f>
        <v>91</v>
      </c>
      <c r="K17" s="92">
        <f>2*E15+D15+B15</f>
        <v>7</v>
      </c>
    </row>
    <row r="18" spans="1:11" ht="13.2">
      <c r="A18" s="260"/>
      <c r="B18" s="89"/>
      <c r="C18" s="6"/>
      <c r="D18" s="6"/>
      <c r="E18" s="6"/>
      <c r="F18" s="87">
        <f>2*E15+D15+B15</f>
        <v>7</v>
      </c>
      <c r="G18" s="87">
        <f>C15+4*E15+13*B15</f>
        <v>91</v>
      </c>
      <c r="H18" s="93">
        <f>F18*G18/1000000</f>
        <v>6.3699999999999998E-4</v>
      </c>
      <c r="I18" s="91">
        <f>I22/H18</f>
        <v>784929.35635792778</v>
      </c>
      <c r="J18" s="92">
        <f>C15+4*E15+13*B15</f>
        <v>91</v>
      </c>
      <c r="K18" s="92">
        <f>2*E15+D15+B15</f>
        <v>7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VLOOKUP(Kalk!K8,$M$2:$P$9,3,0)</f>
        <v>300</v>
      </c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13"/>
      <c r="C21" s="114"/>
      <c r="D21" s="114"/>
      <c r="E21" s="111"/>
      <c r="F21" s="110"/>
      <c r="G21" s="110"/>
      <c r="H21" s="90"/>
      <c r="I21" s="264"/>
    </row>
    <row r="22" spans="1:11" ht="13.2">
      <c r="A22" s="260"/>
      <c r="B22" s="115"/>
      <c r="C22" s="114"/>
      <c r="D22" s="114"/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2*E27+D27+B27</f>
        <v>3</v>
      </c>
      <c r="G27" s="87">
        <f>C27+4*E27+13*B27</f>
        <v>39</v>
      </c>
      <c r="H27" s="90">
        <f>(F27*G27)/1000000</f>
        <v>1.17E-4</v>
      </c>
      <c r="I27" s="91">
        <f>I34/H27</f>
        <v>4273504.273504274</v>
      </c>
      <c r="J27" s="92">
        <f>C27+4*E27+13*B27</f>
        <v>39</v>
      </c>
      <c r="K27" s="92">
        <f>2*E27+D27+B27</f>
        <v>3</v>
      </c>
    </row>
    <row r="28" spans="1:11" ht="13.2">
      <c r="A28" s="260"/>
      <c r="B28" s="89"/>
      <c r="C28" s="6"/>
      <c r="D28" s="6"/>
      <c r="E28" s="6"/>
      <c r="F28" s="87">
        <f>2*E27+D27+B27</f>
        <v>3</v>
      </c>
      <c r="G28" s="87">
        <f>C27+4*E27+13*B27</f>
        <v>39</v>
      </c>
      <c r="H28" s="93">
        <f>F28*G28/1000000</f>
        <v>1.17E-4</v>
      </c>
      <c r="I28" s="91">
        <f>I34/H28</f>
        <v>4273504.273504274</v>
      </c>
      <c r="J28" s="92">
        <f>C27+4*E27+13*B27</f>
        <v>39</v>
      </c>
      <c r="K28" s="92">
        <f>2*E27+D27+B27</f>
        <v>3</v>
      </c>
    </row>
    <row r="29" spans="1:11" ht="13.2">
      <c r="A29" s="260"/>
      <c r="B29" s="89"/>
      <c r="C29" s="6"/>
      <c r="D29" s="6"/>
      <c r="E29" s="6"/>
      <c r="F29" s="87">
        <f>2*E27+D27+B27</f>
        <v>3</v>
      </c>
      <c r="G29" s="87">
        <f>C27+4*E27+13*B27</f>
        <v>39</v>
      </c>
      <c r="H29" s="93">
        <f>F29*G29/1000000</f>
        <v>1.17E-4</v>
      </c>
      <c r="I29" s="91">
        <f>I34/H29</f>
        <v>4273504.273504274</v>
      </c>
      <c r="J29" s="92">
        <f>C27+4*E27+13*B27</f>
        <v>39</v>
      </c>
      <c r="K29" s="92">
        <f>2*E27+D27+B27</f>
        <v>3</v>
      </c>
    </row>
    <row r="30" spans="1:11" ht="13.2">
      <c r="A30" s="260"/>
      <c r="B30" s="89"/>
      <c r="C30" s="6"/>
      <c r="D30" s="6"/>
      <c r="E30" s="6"/>
      <c r="F30" s="87">
        <f>2*E27+D27+B27</f>
        <v>3</v>
      </c>
      <c r="G30" s="87">
        <f>C27+4*E27+13*B27</f>
        <v>39</v>
      </c>
      <c r="H30" s="93">
        <f>F30*G30/1000000</f>
        <v>1.17E-4</v>
      </c>
      <c r="I30" s="91">
        <f>I34/H30</f>
        <v>4273504.273504274</v>
      </c>
      <c r="J30" s="92">
        <f>C27+4*E27+13*B27</f>
        <v>39</v>
      </c>
      <c r="K30" s="92">
        <f>2*E27+D27+B27</f>
        <v>3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VLOOKUP(Kalk!K12,$M$2:$P$9,3,0)</f>
        <v>700</v>
      </c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13"/>
      <c r="C33" s="114"/>
      <c r="D33" s="114"/>
      <c r="E33" s="111"/>
      <c r="F33" s="110"/>
      <c r="G33" s="110"/>
      <c r="H33" s="90"/>
      <c r="I33" s="264"/>
    </row>
    <row r="34" spans="1:11" ht="13.2">
      <c r="A34" s="260"/>
      <c r="B34" s="115"/>
      <c r="C34" s="114"/>
      <c r="D34" s="114"/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2*E39+D39+B39</f>
        <v>3</v>
      </c>
      <c r="G39" s="87">
        <f>C39+4*E39+13*B39</f>
        <v>39</v>
      </c>
      <c r="H39" s="90">
        <f>(F39*G39)/1000000</f>
        <v>1.17E-4</v>
      </c>
      <c r="I39" s="91">
        <f>I46/H39</f>
        <v>4273504.273504274</v>
      </c>
      <c r="J39" s="92">
        <f>C39+4*E39+13*B39</f>
        <v>39</v>
      </c>
      <c r="K39" s="92">
        <f>2*E39+D39+B39</f>
        <v>3</v>
      </c>
    </row>
    <row r="40" spans="1:11" ht="13.2">
      <c r="A40" s="260"/>
      <c r="B40" s="89"/>
      <c r="C40" s="6"/>
      <c r="D40" s="6"/>
      <c r="E40" s="6"/>
      <c r="F40" s="87">
        <f>2*E39+D39+B39</f>
        <v>3</v>
      </c>
      <c r="G40" s="87">
        <f>C39+4*E39+13*B39</f>
        <v>39</v>
      </c>
      <c r="H40" s="93">
        <f>F40*G40/1000000</f>
        <v>1.17E-4</v>
      </c>
      <c r="I40" s="91">
        <f>I46/H40</f>
        <v>4273504.273504274</v>
      </c>
      <c r="J40" s="92">
        <f>C39+4*E39+13*B39</f>
        <v>39</v>
      </c>
      <c r="K40" s="92">
        <f>2*E39+D39+B39</f>
        <v>3</v>
      </c>
    </row>
    <row r="41" spans="1:11" ht="13.2">
      <c r="A41" s="260"/>
      <c r="B41" s="89"/>
      <c r="C41" s="6"/>
      <c r="D41" s="6"/>
      <c r="E41" s="6"/>
      <c r="F41" s="87">
        <f>2*E39+D39+B39</f>
        <v>3</v>
      </c>
      <c r="G41" s="87">
        <f>C39+4*E39+13*B39</f>
        <v>39</v>
      </c>
      <c r="H41" s="93">
        <f>F41*G41/1000000</f>
        <v>1.17E-4</v>
      </c>
      <c r="I41" s="91">
        <f>I46/H41</f>
        <v>4273504.273504274</v>
      </c>
      <c r="J41" s="92">
        <f>C39+4*E39+13*B39</f>
        <v>39</v>
      </c>
      <c r="K41" s="92">
        <f>2*E39+D39+B39</f>
        <v>3</v>
      </c>
    </row>
    <row r="42" spans="1:11" ht="13.2">
      <c r="A42" s="260"/>
      <c r="B42" s="89"/>
      <c r="C42" s="6"/>
      <c r="D42" s="6"/>
      <c r="E42" s="6"/>
      <c r="F42" s="87">
        <f>2*E39+D39+B39</f>
        <v>3</v>
      </c>
      <c r="G42" s="87">
        <f>C39+4*E39+13*B39</f>
        <v>39</v>
      </c>
      <c r="H42" s="93">
        <f>F42*G42/1000000</f>
        <v>1.17E-4</v>
      </c>
      <c r="I42" s="91">
        <f>I46/H42</f>
        <v>4273504.273504274</v>
      </c>
      <c r="J42" s="92">
        <f>C39+4*E39+13*B39</f>
        <v>39</v>
      </c>
      <c r="K42" s="92">
        <f>2*E39+D39+B39</f>
        <v>3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</row>
    <row r="44" spans="1:11" ht="13.35" customHeight="1">
      <c r="A44" s="260"/>
      <c r="B44" s="118">
        <f>VLOOKUP(Kalk!K16,$M$2:$P$9,3,0)</f>
        <v>700</v>
      </c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13"/>
      <c r="C45" s="114"/>
      <c r="D45" s="114"/>
      <c r="E45" s="111"/>
      <c r="F45" s="110"/>
      <c r="G45" s="110"/>
      <c r="H45" s="90"/>
      <c r="I45" s="264"/>
    </row>
    <row r="46" spans="1:11" ht="13.2">
      <c r="A46" s="260"/>
      <c r="B46" s="115"/>
      <c r="C46" s="114"/>
      <c r="D46" s="114"/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2*E51+D51+B51</f>
        <v>3</v>
      </c>
      <c r="G51" s="87">
        <f>C51+4*E51+13*B51</f>
        <v>39</v>
      </c>
      <c r="H51" s="90">
        <f>(F51*G51)/1000000</f>
        <v>1.17E-4</v>
      </c>
      <c r="I51" s="91">
        <f>I58/H51</f>
        <v>4273504.273504274</v>
      </c>
      <c r="J51" s="92">
        <f>G51</f>
        <v>39</v>
      </c>
      <c r="K51" s="92">
        <f>F51</f>
        <v>3</v>
      </c>
    </row>
    <row r="52" spans="1:11" ht="13.2">
      <c r="A52" s="260"/>
      <c r="B52" s="89"/>
      <c r="C52" s="6"/>
      <c r="D52" s="6"/>
      <c r="E52" s="6"/>
      <c r="F52" s="87">
        <f>2*E51+D51+B51</f>
        <v>3</v>
      </c>
      <c r="G52" s="87">
        <f>C51+4*E51+13*B51</f>
        <v>39</v>
      </c>
      <c r="H52" s="93">
        <f>F52*G52/1000000</f>
        <v>1.17E-4</v>
      </c>
      <c r="I52" s="91">
        <f>I58/H52</f>
        <v>4273504.273504274</v>
      </c>
      <c r="J52" s="92">
        <f>G52</f>
        <v>39</v>
      </c>
      <c r="K52" s="92">
        <f>F52</f>
        <v>3</v>
      </c>
    </row>
    <row r="53" spans="1:11" ht="13.2">
      <c r="A53" s="260"/>
      <c r="B53" s="89"/>
      <c r="C53" s="6"/>
      <c r="D53" s="6"/>
      <c r="E53" s="6"/>
      <c r="F53" s="87">
        <f>2*E51+D51+B51</f>
        <v>3</v>
      </c>
      <c r="G53" s="87">
        <f>C51+4*E51+13*B51</f>
        <v>39</v>
      </c>
      <c r="H53" s="93">
        <f>F53*G53/1000000</f>
        <v>1.17E-4</v>
      </c>
      <c r="I53" s="91">
        <f>I58/H53</f>
        <v>4273504.273504274</v>
      </c>
      <c r="J53" s="92">
        <f>G53</f>
        <v>39</v>
      </c>
      <c r="K53" s="92">
        <f>F53</f>
        <v>3</v>
      </c>
    </row>
    <row r="54" spans="1:11" ht="13.2">
      <c r="A54" s="260"/>
      <c r="B54" s="89"/>
      <c r="C54" s="6"/>
      <c r="D54" s="6"/>
      <c r="E54" s="6"/>
      <c r="F54" s="87">
        <f>2*E51+D51+B51</f>
        <v>3</v>
      </c>
      <c r="G54" s="87">
        <f>C51+4*E51+13*B51</f>
        <v>39</v>
      </c>
      <c r="H54" s="93">
        <f>F54*G54/1000000</f>
        <v>1.17E-4</v>
      </c>
      <c r="I54" s="91">
        <f>I58/H54</f>
        <v>4273504.273504274</v>
      </c>
      <c r="J54" s="92">
        <f>G54</f>
        <v>39</v>
      </c>
      <c r="K54" s="92">
        <f>F54</f>
        <v>3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VLOOKUP(Kalk!K20,$M$2:$P$9,3,0)</f>
        <v>700</v>
      </c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13"/>
      <c r="C57" s="114"/>
      <c r="D57" s="114"/>
      <c r="E57" s="111"/>
      <c r="F57" s="110"/>
      <c r="G57" s="110"/>
      <c r="H57" s="90"/>
      <c r="I57" s="264"/>
    </row>
    <row r="58" spans="1:11" ht="13.2">
      <c r="A58" s="260"/>
      <c r="B58" s="115"/>
      <c r="C58" s="114"/>
      <c r="D58" s="114"/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2*E63+D63+B63</f>
        <v>3</v>
      </c>
      <c r="G63" s="87">
        <f>C63+4*E63+13*B63</f>
        <v>39</v>
      </c>
      <c r="H63" s="90">
        <f>(F63*G63)/1000000</f>
        <v>1.17E-4</v>
      </c>
      <c r="I63" s="91">
        <f>I70/H63</f>
        <v>4273504.273504274</v>
      </c>
      <c r="J63" s="92">
        <f>G63</f>
        <v>39</v>
      </c>
      <c r="K63" s="92">
        <f>F63</f>
        <v>3</v>
      </c>
    </row>
    <row r="64" spans="1:11" ht="13.2">
      <c r="A64" s="260"/>
      <c r="B64" s="89"/>
      <c r="C64" s="6"/>
      <c r="D64" s="6"/>
      <c r="E64" s="6"/>
      <c r="F64" s="87">
        <f>2*E63+D63+B63</f>
        <v>3</v>
      </c>
      <c r="G64" s="87">
        <f>C63+4*E63+13*B63</f>
        <v>39</v>
      </c>
      <c r="H64" s="93">
        <f>F64*G64/1000000</f>
        <v>1.17E-4</v>
      </c>
      <c r="I64" s="91">
        <f>I70/H64</f>
        <v>4273504.273504274</v>
      </c>
      <c r="J64" s="92">
        <f>G64</f>
        <v>39</v>
      </c>
      <c r="K64" s="92">
        <f>F64</f>
        <v>3</v>
      </c>
    </row>
    <row r="65" spans="1:11" ht="13.2">
      <c r="A65" s="260"/>
      <c r="B65" s="89"/>
      <c r="C65" s="6"/>
      <c r="D65" s="6"/>
      <c r="E65" s="6"/>
      <c r="F65" s="87">
        <f>2*E63+D63+B63</f>
        <v>3</v>
      </c>
      <c r="G65" s="87">
        <f>C63+4*E63+13*B63</f>
        <v>39</v>
      </c>
      <c r="H65" s="93">
        <f>F65*G65/1000000</f>
        <v>1.17E-4</v>
      </c>
      <c r="I65" s="91">
        <f>I70/H65</f>
        <v>4273504.273504274</v>
      </c>
      <c r="J65" s="92">
        <f>G65</f>
        <v>39</v>
      </c>
      <c r="K65" s="92">
        <f>F65</f>
        <v>3</v>
      </c>
    </row>
    <row r="66" spans="1:11" ht="13.2">
      <c r="A66" s="260"/>
      <c r="B66" s="89"/>
      <c r="C66" s="6"/>
      <c r="D66" s="6"/>
      <c r="E66" s="6"/>
      <c r="F66" s="87">
        <f>2*E63+D63+B63</f>
        <v>3</v>
      </c>
      <c r="G66" s="87">
        <f>C63+4*E63+13*B63</f>
        <v>39</v>
      </c>
      <c r="H66" s="93">
        <f>F66*G66/1000000</f>
        <v>1.17E-4</v>
      </c>
      <c r="I66" s="91">
        <f>I70/H66</f>
        <v>4273504.273504274</v>
      </c>
      <c r="J66" s="92">
        <f>G66</f>
        <v>39</v>
      </c>
      <c r="K66" s="92">
        <f>F66</f>
        <v>3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VLOOKUP(Kalk!K24,$M$2:$P$9,3,0)</f>
        <v>700</v>
      </c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13"/>
      <c r="C69" s="114"/>
      <c r="D69" s="114"/>
      <c r="E69" s="111"/>
      <c r="F69" s="110"/>
      <c r="G69" s="110"/>
      <c r="H69" s="90"/>
      <c r="I69" s="264"/>
    </row>
    <row r="70" spans="1:11" ht="13.2">
      <c r="A70" s="260"/>
      <c r="B70" s="115"/>
      <c r="C70" s="114"/>
      <c r="D70" s="114"/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2*E75+D75+B75</f>
        <v>3</v>
      </c>
      <c r="G75" s="87">
        <f>C75+4*E75+13*B75</f>
        <v>39</v>
      </c>
      <c r="H75" s="90">
        <f>(F75*G75)/1000000</f>
        <v>1.17E-4</v>
      </c>
      <c r="I75" s="91">
        <f>I82/H75</f>
        <v>4273504.273504274</v>
      </c>
      <c r="J75" s="92">
        <f>G75</f>
        <v>39</v>
      </c>
      <c r="K75" s="92">
        <f>F75</f>
        <v>3</v>
      </c>
    </row>
    <row r="76" spans="1:11" ht="13.2">
      <c r="A76" s="260"/>
      <c r="B76" s="89"/>
      <c r="C76" s="6"/>
      <c r="D76" s="6"/>
      <c r="E76" s="6"/>
      <c r="F76" s="87">
        <f>2*E75+D75+B75</f>
        <v>3</v>
      </c>
      <c r="G76" s="87">
        <f>C75+4*E75+13*B75</f>
        <v>39</v>
      </c>
      <c r="H76" s="93">
        <f>F76*G76/1000000</f>
        <v>1.17E-4</v>
      </c>
      <c r="I76" s="91">
        <f>I82/H76</f>
        <v>4273504.273504274</v>
      </c>
      <c r="J76" s="92">
        <f>G76</f>
        <v>39</v>
      </c>
      <c r="K76" s="92">
        <f>F76</f>
        <v>3</v>
      </c>
    </row>
    <row r="77" spans="1:11" ht="13.2">
      <c r="A77" s="260"/>
      <c r="B77" s="89"/>
      <c r="C77" s="6"/>
      <c r="D77" s="6"/>
      <c r="E77" s="6"/>
      <c r="F77" s="87">
        <f>2*E75+D75+B75</f>
        <v>3</v>
      </c>
      <c r="G77" s="87">
        <f>C75+4*E75+13*B75</f>
        <v>39</v>
      </c>
      <c r="H77" s="93">
        <f>F77*G77/1000000</f>
        <v>1.17E-4</v>
      </c>
      <c r="I77" s="91">
        <f>I82/H77</f>
        <v>4273504.273504274</v>
      </c>
      <c r="J77" s="92">
        <f>G77</f>
        <v>39</v>
      </c>
      <c r="K77" s="92">
        <f>F77</f>
        <v>3</v>
      </c>
    </row>
    <row r="78" spans="1:11" ht="13.2">
      <c r="A78" s="260"/>
      <c r="B78" s="89"/>
      <c r="C78" s="6"/>
      <c r="D78" s="6"/>
      <c r="E78" s="6"/>
      <c r="F78" s="87">
        <f>2*E75+D75+B75</f>
        <v>3</v>
      </c>
      <c r="G78" s="87">
        <f>C75+4*E75+13*B75</f>
        <v>39</v>
      </c>
      <c r="H78" s="93">
        <f>F78*G78/1000000</f>
        <v>1.17E-4</v>
      </c>
      <c r="I78" s="91">
        <f>I82/H78</f>
        <v>4273504.273504274</v>
      </c>
      <c r="J78" s="92">
        <f>G78</f>
        <v>39</v>
      </c>
      <c r="K78" s="92">
        <f>F78</f>
        <v>3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VLOOKUP(Kalk!K28,$M$2:$P$9,3,0)</f>
        <v>700</v>
      </c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13"/>
      <c r="C81" s="114"/>
      <c r="D81" s="114"/>
      <c r="E81" s="111"/>
      <c r="F81" s="110"/>
      <c r="G81" s="110"/>
      <c r="H81" s="90"/>
      <c r="I81" s="264"/>
    </row>
    <row r="82" spans="1:11" ht="13.2">
      <c r="A82" s="260"/>
      <c r="B82" s="115"/>
      <c r="C82" s="114"/>
      <c r="D82" s="114"/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2*E87+D87+B87</f>
        <v>3</v>
      </c>
      <c r="G87" s="87">
        <f>C87+4*E87+13*B87</f>
        <v>39</v>
      </c>
      <c r="H87" s="90">
        <f>(F87*G87)/1000000</f>
        <v>1.17E-4</v>
      </c>
      <c r="I87" s="91">
        <f>I94/H87</f>
        <v>4273504.273504274</v>
      </c>
      <c r="J87" s="92">
        <f>G87</f>
        <v>39</v>
      </c>
      <c r="K87" s="92">
        <f>F87</f>
        <v>3</v>
      </c>
    </row>
    <row r="88" spans="1:11" ht="13.2">
      <c r="A88" s="260"/>
      <c r="B88" s="89"/>
      <c r="C88" s="6"/>
      <c r="D88" s="6"/>
      <c r="E88" s="6"/>
      <c r="F88" s="87">
        <f>2*E87+D87+B87</f>
        <v>3</v>
      </c>
      <c r="G88" s="87">
        <f>C87+4*E87+13*B87</f>
        <v>39</v>
      </c>
      <c r="H88" s="93">
        <f>F88*G88/1000000</f>
        <v>1.17E-4</v>
      </c>
      <c r="I88" s="91">
        <f>I94/H88</f>
        <v>4273504.273504274</v>
      </c>
      <c r="J88" s="92">
        <f>G88</f>
        <v>39</v>
      </c>
      <c r="K88" s="92">
        <f>F88</f>
        <v>3</v>
      </c>
    </row>
    <row r="89" spans="1:11" ht="13.2">
      <c r="A89" s="260"/>
      <c r="B89" s="89"/>
      <c r="C89" s="6"/>
      <c r="D89" s="6"/>
      <c r="E89" s="6"/>
      <c r="F89" s="87">
        <f>2*E87+D87+B87</f>
        <v>3</v>
      </c>
      <c r="G89" s="87">
        <f>C87+4*E87+13*B87</f>
        <v>39</v>
      </c>
      <c r="H89" s="93">
        <f>F89*G89/1000000</f>
        <v>1.17E-4</v>
      </c>
      <c r="I89" s="91">
        <f>I94/H89</f>
        <v>4273504.273504274</v>
      </c>
      <c r="J89" s="92">
        <f>G89</f>
        <v>39</v>
      </c>
      <c r="K89" s="92">
        <f>F89</f>
        <v>3</v>
      </c>
    </row>
    <row r="90" spans="1:11" ht="13.2">
      <c r="A90" s="260"/>
      <c r="B90" s="89"/>
      <c r="C90" s="6"/>
      <c r="D90" s="6"/>
      <c r="E90" s="6"/>
      <c r="F90" s="87">
        <f>2*E87+D87+B87</f>
        <v>3</v>
      </c>
      <c r="G90" s="87">
        <f>C87+4*E87+13*B87</f>
        <v>39</v>
      </c>
      <c r="H90" s="93">
        <f>F90*G90/1000000</f>
        <v>1.17E-4</v>
      </c>
      <c r="I90" s="91">
        <f>I94/H90</f>
        <v>4273504.273504274</v>
      </c>
      <c r="J90" s="92">
        <f>G90</f>
        <v>39</v>
      </c>
      <c r="K90" s="92">
        <f>F90</f>
        <v>3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VLOOKUP(Kalk!K32,$M$2:$P$9,3,0)</f>
        <v>700</v>
      </c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13"/>
      <c r="C93" s="114"/>
      <c r="D93" s="114"/>
      <c r="E93" s="111"/>
      <c r="F93" s="110"/>
      <c r="G93" s="110"/>
      <c r="H93" s="90"/>
      <c r="I93" s="264"/>
    </row>
    <row r="94" spans="1:11" ht="13.2">
      <c r="A94" s="260"/>
      <c r="B94" s="115"/>
      <c r="C94" s="114"/>
      <c r="D94" s="114"/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2*E99+D99+B99</f>
        <v>3</v>
      </c>
      <c r="G99" s="87">
        <f>C99+4*E99+13*B99</f>
        <v>39</v>
      </c>
      <c r="H99" s="90">
        <f>(F99*G99)/1000000</f>
        <v>1.17E-4</v>
      </c>
      <c r="I99" s="91">
        <f>I106/H99</f>
        <v>4273504.273504274</v>
      </c>
      <c r="J99" s="92">
        <f>G99</f>
        <v>39</v>
      </c>
      <c r="K99" s="92">
        <f>F99</f>
        <v>3</v>
      </c>
    </row>
    <row r="100" spans="1:11" ht="13.2">
      <c r="A100" s="260"/>
      <c r="B100" s="89"/>
      <c r="C100" s="6"/>
      <c r="D100" s="6"/>
      <c r="E100" s="6"/>
      <c r="F100" s="87">
        <f>2*E99+D99+B99</f>
        <v>3</v>
      </c>
      <c r="G100" s="87">
        <f>C99+4*E99+13*B99</f>
        <v>39</v>
      </c>
      <c r="H100" s="93">
        <f>F100*G100/1000000</f>
        <v>1.17E-4</v>
      </c>
      <c r="I100" s="91">
        <f>I106/H100</f>
        <v>4273504.273504274</v>
      </c>
      <c r="J100" s="92">
        <f>G100</f>
        <v>39</v>
      </c>
      <c r="K100" s="92">
        <f>F100</f>
        <v>3</v>
      </c>
    </row>
    <row r="101" spans="1:11" ht="13.2">
      <c r="A101" s="260"/>
      <c r="B101" s="89"/>
      <c r="C101" s="6"/>
      <c r="D101" s="6"/>
      <c r="E101" s="6"/>
      <c r="F101" s="87">
        <f>2*E99+D99+B99</f>
        <v>3</v>
      </c>
      <c r="G101" s="87">
        <f>C99+4*E99+13*B99</f>
        <v>39</v>
      </c>
      <c r="H101" s="93">
        <f>F101*G101/1000000</f>
        <v>1.17E-4</v>
      </c>
      <c r="I101" s="91">
        <f>I106/H101</f>
        <v>4273504.273504274</v>
      </c>
      <c r="J101" s="92">
        <f>G101</f>
        <v>39</v>
      </c>
      <c r="K101" s="92">
        <f>F101</f>
        <v>3</v>
      </c>
    </row>
    <row r="102" spans="1:11" ht="13.2">
      <c r="A102" s="260"/>
      <c r="B102" s="89"/>
      <c r="C102" s="6"/>
      <c r="D102" s="6"/>
      <c r="E102" s="6"/>
      <c r="F102" s="87">
        <f>2*E99+D99+B99</f>
        <v>3</v>
      </c>
      <c r="G102" s="87">
        <f>C99+4*E99+13*B99</f>
        <v>39</v>
      </c>
      <c r="H102" s="93">
        <f>F102*G102/1000000</f>
        <v>1.17E-4</v>
      </c>
      <c r="I102" s="91">
        <f>I106/H102</f>
        <v>4273504.273504274</v>
      </c>
      <c r="J102" s="92">
        <f>G102</f>
        <v>39</v>
      </c>
      <c r="K102" s="92">
        <f>F102</f>
        <v>3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VLOOKUP(Kalk!K36,$M$2:$P$9,3,0)</f>
        <v>700</v>
      </c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13"/>
      <c r="C105" s="114"/>
      <c r="D105" s="114"/>
      <c r="E105" s="111"/>
      <c r="F105" s="110"/>
      <c r="G105" s="110"/>
      <c r="H105" s="90"/>
      <c r="I105" s="264"/>
    </row>
    <row r="106" spans="1:11" ht="13.2">
      <c r="A106" s="260"/>
      <c r="B106" s="115"/>
      <c r="C106" s="114"/>
      <c r="D106" s="114"/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2*E111+D111+B111</f>
        <v>3</v>
      </c>
      <c r="G111" s="87">
        <f>C111+4*E111+13*B111</f>
        <v>39</v>
      </c>
      <c r="H111" s="90">
        <f>(F111*G111)/1000000</f>
        <v>1.17E-4</v>
      </c>
      <c r="I111" s="91">
        <f>I118/H111</f>
        <v>4273504.273504274</v>
      </c>
      <c r="J111" s="92">
        <f>G111</f>
        <v>39</v>
      </c>
      <c r="K111" s="92">
        <f>F111</f>
        <v>3</v>
      </c>
    </row>
    <row r="112" spans="1:11" ht="13.2">
      <c r="A112" s="260"/>
      <c r="B112" s="89"/>
      <c r="C112" s="6"/>
      <c r="D112" s="6"/>
      <c r="E112" s="6"/>
      <c r="F112" s="87">
        <f>2*E111+D111+B111</f>
        <v>3</v>
      </c>
      <c r="G112" s="87">
        <f>C111+4*E111+13*B111</f>
        <v>39</v>
      </c>
      <c r="H112" s="93">
        <f>F112*G112/1000000</f>
        <v>1.17E-4</v>
      </c>
      <c r="I112" s="91">
        <f>I118/H112</f>
        <v>4273504.273504274</v>
      </c>
      <c r="J112" s="92">
        <f>G112</f>
        <v>39</v>
      </c>
      <c r="K112" s="92">
        <f>F112</f>
        <v>3</v>
      </c>
    </row>
    <row r="113" spans="1:11" ht="13.2">
      <c r="A113" s="260"/>
      <c r="B113" s="89"/>
      <c r="C113" s="6"/>
      <c r="D113" s="6"/>
      <c r="E113" s="6"/>
      <c r="F113" s="87">
        <f>2*E111+D111+B111</f>
        <v>3</v>
      </c>
      <c r="G113" s="87">
        <f>C111+4*E111+13*B111</f>
        <v>39</v>
      </c>
      <c r="H113" s="93">
        <f>F113*G113/1000000</f>
        <v>1.17E-4</v>
      </c>
      <c r="I113" s="91">
        <f>I118/H113</f>
        <v>4273504.273504274</v>
      </c>
      <c r="J113" s="92">
        <f>G113</f>
        <v>39</v>
      </c>
      <c r="K113" s="92">
        <f>F113</f>
        <v>3</v>
      </c>
    </row>
    <row r="114" spans="1:11" ht="13.2">
      <c r="A114" s="260"/>
      <c r="B114" s="89"/>
      <c r="C114" s="6"/>
      <c r="D114" s="6"/>
      <c r="E114" s="6"/>
      <c r="F114" s="87">
        <f>2*E111+D111+B111</f>
        <v>3</v>
      </c>
      <c r="G114" s="87">
        <f>C111+4*E111+13*B111</f>
        <v>39</v>
      </c>
      <c r="H114" s="93">
        <f>F114*G114/1000000</f>
        <v>1.17E-4</v>
      </c>
      <c r="I114" s="91">
        <f>I118/H114</f>
        <v>4273504.273504274</v>
      </c>
      <c r="J114" s="92">
        <f>G114</f>
        <v>39</v>
      </c>
      <c r="K114" s="92">
        <f>F114</f>
        <v>3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VLOOKUP(Kalk!K40,$M$2:$P$9,3,0)</f>
        <v>700</v>
      </c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13"/>
      <c r="C117" s="114"/>
      <c r="D117" s="114"/>
      <c r="E117" s="111"/>
      <c r="F117" s="110"/>
      <c r="G117" s="110"/>
      <c r="H117" s="90"/>
      <c r="I117" s="264"/>
    </row>
    <row r="118" spans="1:11" ht="13.2">
      <c r="A118" s="260"/>
      <c r="B118" s="115"/>
      <c r="C118" s="114"/>
      <c r="D118" s="114"/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M1:N1"/>
    <mergeCell ref="A2:A12"/>
    <mergeCell ref="F2:G2"/>
    <mergeCell ref="J2:K2"/>
    <mergeCell ref="I8:I9"/>
    <mergeCell ref="A14:A24"/>
    <mergeCell ref="F14:G14"/>
    <mergeCell ref="J14:K14"/>
    <mergeCell ref="I20:I21"/>
    <mergeCell ref="A26:A36"/>
    <mergeCell ref="F26:G26"/>
    <mergeCell ref="J26:K26"/>
    <mergeCell ref="I32:I33"/>
    <mergeCell ref="A38:A48"/>
    <mergeCell ref="F38:G38"/>
    <mergeCell ref="J38:K38"/>
    <mergeCell ref="I44:I45"/>
    <mergeCell ref="A50:A60"/>
    <mergeCell ref="F50:G50"/>
    <mergeCell ref="J50:K50"/>
    <mergeCell ref="I56:I57"/>
    <mergeCell ref="A62:A72"/>
    <mergeCell ref="F62:G62"/>
    <mergeCell ref="J62:K62"/>
    <mergeCell ref="I68:I69"/>
    <mergeCell ref="A74:A84"/>
    <mergeCell ref="F74:G74"/>
    <mergeCell ref="J74:K74"/>
    <mergeCell ref="I80:I81"/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C000"/>
    <pageSetUpPr fitToPage="1"/>
  </sheetPr>
  <dimension ref="A1:O120"/>
  <sheetViews>
    <sheetView zoomScale="74" zoomScaleNormal="74" workbookViewId="0">
      <selection activeCell="I3" sqref="I3"/>
    </sheetView>
  </sheetViews>
  <sheetFormatPr defaultColWidth="11.5546875" defaultRowHeight="12.75" customHeight="1"/>
  <cols>
    <col min="4" max="4" width="12.6640625" customWidth="1"/>
    <col min="9" max="9" width="13.88671875" customWidth="1"/>
  </cols>
  <sheetData>
    <row r="1" spans="1:15" ht="13.2">
      <c r="M1" s="266" t="s">
        <v>73</v>
      </c>
      <c r="N1" s="266"/>
      <c r="O1" s="116" t="s">
        <v>83</v>
      </c>
    </row>
    <row r="2" spans="1:15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</row>
    <row r="3" spans="1:15" ht="13.2">
      <c r="A3" s="260"/>
      <c r="B3" s="118">
        <f>VLOOKUP(Kalk!K4,$M$2:$N$8,2,0)</f>
        <v>8</v>
      </c>
      <c r="C3" s="85">
        <f>Kalk!C4</f>
        <v>0</v>
      </c>
      <c r="D3" s="85">
        <f>Kalk!E4</f>
        <v>0</v>
      </c>
      <c r="E3" s="85">
        <f>Kalk!G4</f>
        <v>0</v>
      </c>
      <c r="F3" s="87">
        <f>3*E3+2*D3+B3*5</f>
        <v>40</v>
      </c>
      <c r="G3" s="87">
        <f>4*E3+C3+B3*21</f>
        <v>168</v>
      </c>
      <c r="H3" s="90">
        <f>(F3*G3)/1000000</f>
        <v>6.7200000000000003E-3</v>
      </c>
      <c r="I3" s="91">
        <f>I10/H3</f>
        <v>74404.761904761908</v>
      </c>
      <c r="J3" s="92">
        <f t="shared" ref="J3:K6" si="0">F3</f>
        <v>40</v>
      </c>
      <c r="K3" s="92">
        <f t="shared" si="0"/>
        <v>168</v>
      </c>
      <c r="M3" s="109" t="s">
        <v>77</v>
      </c>
      <c r="N3" s="110">
        <v>3</v>
      </c>
      <c r="O3" s="117">
        <v>700</v>
      </c>
    </row>
    <row r="4" spans="1:15" ht="13.2">
      <c r="A4" s="260"/>
      <c r="B4" s="89"/>
      <c r="C4" s="6"/>
      <c r="D4" s="6"/>
      <c r="E4" s="6"/>
      <c r="F4" s="87">
        <f>3*E3+2*D3+B3*5</f>
        <v>40</v>
      </c>
      <c r="G4" s="87">
        <f>4*E3+C3+B3*21</f>
        <v>168</v>
      </c>
      <c r="H4" s="90">
        <f>(F4*G4)/1000000</f>
        <v>6.7200000000000003E-3</v>
      </c>
      <c r="I4" s="91">
        <f>I10/H4</f>
        <v>74404.761904761908</v>
      </c>
      <c r="J4" s="92">
        <f t="shared" si="0"/>
        <v>40</v>
      </c>
      <c r="K4" s="92">
        <f t="shared" si="0"/>
        <v>168</v>
      </c>
      <c r="M4" s="111" t="s">
        <v>78</v>
      </c>
      <c r="N4" s="112">
        <v>5</v>
      </c>
      <c r="O4" s="117">
        <v>500</v>
      </c>
    </row>
    <row r="5" spans="1:15" ht="13.2">
      <c r="A5" s="260"/>
      <c r="B5" s="89"/>
      <c r="C5" s="6"/>
      <c r="D5" s="6"/>
      <c r="E5" s="6"/>
      <c r="F5" s="87">
        <f>3*E3+2*D3+B3*5</f>
        <v>40</v>
      </c>
      <c r="G5" s="87">
        <f>4*E3+C3+B3*21</f>
        <v>168</v>
      </c>
      <c r="H5" s="90">
        <f>(F5*G5)/1000000</f>
        <v>6.7200000000000003E-3</v>
      </c>
      <c r="I5" s="91">
        <f>$I10/H5</f>
        <v>74404.761904761908</v>
      </c>
      <c r="J5" s="92">
        <f t="shared" si="0"/>
        <v>40</v>
      </c>
      <c r="K5" s="92">
        <f t="shared" si="0"/>
        <v>168</v>
      </c>
      <c r="M5" s="113" t="s">
        <v>79</v>
      </c>
      <c r="N5" s="114">
        <v>6</v>
      </c>
      <c r="O5" s="117">
        <v>420</v>
      </c>
    </row>
    <row r="6" spans="1:15" ht="13.2">
      <c r="A6" s="260"/>
      <c r="B6" s="89"/>
      <c r="C6" s="6"/>
      <c r="D6" s="6"/>
      <c r="E6" s="6"/>
      <c r="F6" s="87">
        <f>3*E3+2*D3+B3*5</f>
        <v>40</v>
      </c>
      <c r="G6" s="87">
        <f>4*E3+C3+B3*21</f>
        <v>168</v>
      </c>
      <c r="H6" s="90">
        <f>(F6*G6)/1000000</f>
        <v>6.7200000000000003E-3</v>
      </c>
      <c r="I6" s="91">
        <f>$I10/H6</f>
        <v>74404.761904761908</v>
      </c>
      <c r="J6" s="92">
        <f t="shared" si="0"/>
        <v>40</v>
      </c>
      <c r="K6" s="92">
        <f t="shared" si="0"/>
        <v>168</v>
      </c>
      <c r="M6" s="115" t="s">
        <v>80</v>
      </c>
      <c r="N6" s="114">
        <v>8</v>
      </c>
      <c r="O6" s="117">
        <v>300</v>
      </c>
    </row>
    <row r="7" spans="1:15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14</v>
      </c>
      <c r="O7" s="117">
        <v>160</v>
      </c>
    </row>
    <row r="8" spans="1:15" ht="13.35" customHeight="1">
      <c r="A8" s="260"/>
      <c r="B8" s="118">
        <f>VLOOKUP(Kalk!K4,$M$2:$O$9,3,0)</f>
        <v>300</v>
      </c>
      <c r="C8" s="112"/>
      <c r="D8" s="120"/>
      <c r="E8" s="119"/>
      <c r="F8" s="121"/>
      <c r="G8" s="121"/>
      <c r="H8" s="87"/>
      <c r="I8" s="264" t="s">
        <v>63</v>
      </c>
      <c r="M8" s="122"/>
      <c r="N8" s="123"/>
    </row>
    <row r="9" spans="1:15" ht="13.2">
      <c r="A9" s="260"/>
      <c r="B9" s="113"/>
      <c r="C9" s="114"/>
      <c r="D9" s="114"/>
      <c r="E9" s="111"/>
      <c r="F9" s="110"/>
      <c r="G9" s="110"/>
      <c r="H9" s="90"/>
      <c r="I9" s="264"/>
      <c r="M9" s="122"/>
      <c r="N9" s="123"/>
    </row>
    <row r="10" spans="1:15" ht="13.2">
      <c r="A10" s="260"/>
      <c r="B10" s="115"/>
      <c r="C10" s="114"/>
      <c r="D10" s="114"/>
      <c r="E10" s="111"/>
      <c r="F10" s="110"/>
      <c r="G10" s="110"/>
      <c r="H10" s="90"/>
      <c r="I10" s="99">
        <v>500</v>
      </c>
    </row>
    <row r="11" spans="1:15" ht="13.2">
      <c r="A11" s="260"/>
      <c r="B11" s="117"/>
      <c r="C11" s="117"/>
      <c r="D11" s="117"/>
      <c r="E11" s="117"/>
      <c r="F11" s="117"/>
      <c r="G11" s="117"/>
      <c r="H11" s="117"/>
      <c r="I11" s="117"/>
    </row>
    <row r="12" spans="1:15" ht="13.2">
      <c r="A12" s="260"/>
      <c r="B12" s="117"/>
      <c r="C12" s="117"/>
      <c r="D12" s="117"/>
      <c r="E12" s="117"/>
      <c r="F12" s="117"/>
      <c r="G12" s="117"/>
      <c r="H12" s="117"/>
      <c r="I12" s="117"/>
    </row>
    <row r="13" spans="1:15" ht="13.2"/>
    <row r="14" spans="1:15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5" ht="13.2">
      <c r="A15" s="260"/>
      <c r="B15" s="118">
        <f>VLOOKUP(Kalk!K8,$M$2:$N$8,2,0)</f>
        <v>8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3*E15+2*D15+B15*5</f>
        <v>40</v>
      </c>
      <c r="G15" s="87">
        <f>4*E15+C15+B15*21</f>
        <v>168</v>
      </c>
      <c r="H15" s="90">
        <f>(F15*G15)/1000000</f>
        <v>6.7200000000000003E-3</v>
      </c>
      <c r="I15" s="91">
        <f>I22/H15</f>
        <v>74404.761904761908</v>
      </c>
      <c r="J15" s="92">
        <f t="shared" ref="J15:K18" si="1">F15</f>
        <v>40</v>
      </c>
      <c r="K15" s="92">
        <f t="shared" si="1"/>
        <v>168</v>
      </c>
    </row>
    <row r="16" spans="1:15" ht="13.2">
      <c r="A16" s="260"/>
      <c r="B16" s="89"/>
      <c r="C16" s="6"/>
      <c r="D16" s="6"/>
      <c r="E16" s="6"/>
      <c r="F16" s="87">
        <f>3*E15+2*D15+B15*5</f>
        <v>40</v>
      </c>
      <c r="G16" s="87">
        <f>4*E15+C15+B15*21</f>
        <v>168</v>
      </c>
      <c r="H16" s="93">
        <f>F16*G16/1000000</f>
        <v>6.7200000000000003E-3</v>
      </c>
      <c r="I16" s="91">
        <f>I22/H16</f>
        <v>74404.761904761908</v>
      </c>
      <c r="J16" s="92">
        <f t="shared" si="1"/>
        <v>40</v>
      </c>
      <c r="K16" s="92">
        <f t="shared" si="1"/>
        <v>168</v>
      </c>
    </row>
    <row r="17" spans="1:11" ht="13.2">
      <c r="A17" s="260"/>
      <c r="B17" s="89"/>
      <c r="C17" s="6"/>
      <c r="D17" s="6"/>
      <c r="E17" s="6"/>
      <c r="F17" s="87">
        <f>3*E15+2*D15+B15*5</f>
        <v>40</v>
      </c>
      <c r="G17" s="87">
        <f>4*E15+C15+B15*21</f>
        <v>168</v>
      </c>
      <c r="H17" s="93">
        <f>F17*G17/1000000</f>
        <v>6.7200000000000003E-3</v>
      </c>
      <c r="I17" s="91">
        <f>I22/H17</f>
        <v>74404.761904761908</v>
      </c>
      <c r="J17" s="92">
        <f t="shared" si="1"/>
        <v>40</v>
      </c>
      <c r="K17" s="92">
        <f t="shared" si="1"/>
        <v>168</v>
      </c>
    </row>
    <row r="18" spans="1:11" ht="13.2">
      <c r="A18" s="260"/>
      <c r="B18" s="89"/>
      <c r="C18" s="6"/>
      <c r="D18" s="6"/>
      <c r="E18" s="6"/>
      <c r="F18" s="87">
        <f>3*E15+2*D15+B15*5</f>
        <v>40</v>
      </c>
      <c r="G18" s="87">
        <f>4*E15+C15+B15*21</f>
        <v>168</v>
      </c>
      <c r="H18" s="93">
        <f>F18*G18/1000000</f>
        <v>6.7200000000000003E-3</v>
      </c>
      <c r="I18" s="91">
        <f>I22/H18</f>
        <v>74404.761904761908</v>
      </c>
      <c r="J18" s="92">
        <f t="shared" si="1"/>
        <v>40</v>
      </c>
      <c r="K18" s="92">
        <f t="shared" si="1"/>
        <v>168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VLOOKUP(Kalk!K8,$M$2:$O$9,3,0)</f>
        <v>300</v>
      </c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13"/>
      <c r="C21" s="114"/>
      <c r="D21" s="114"/>
      <c r="E21" s="111"/>
      <c r="F21" s="110"/>
      <c r="G21" s="110"/>
      <c r="H21" s="90"/>
      <c r="I21" s="264"/>
    </row>
    <row r="22" spans="1:11" ht="13.2">
      <c r="A22" s="260"/>
      <c r="B22" s="115"/>
      <c r="C22" s="114"/>
      <c r="D22" s="114"/>
      <c r="E22" s="111"/>
      <c r="F22" s="110"/>
      <c r="G22" s="110"/>
      <c r="H22" s="90"/>
      <c r="I22" s="99">
        <v>500</v>
      </c>
    </row>
    <row r="23" spans="1:11" ht="13.2">
      <c r="A23" s="260"/>
      <c r="B23" s="117"/>
      <c r="C23" s="117"/>
      <c r="D23" s="117"/>
      <c r="E23" s="117"/>
      <c r="F23" s="117"/>
      <c r="G23" s="117"/>
      <c r="H23" s="117"/>
      <c r="I23" s="117"/>
    </row>
    <row r="24" spans="1:11" ht="13.2">
      <c r="A24" s="260"/>
      <c r="B24" s="117"/>
      <c r="C24" s="117"/>
      <c r="D24" s="117"/>
      <c r="E24" s="117"/>
      <c r="F24" s="117"/>
      <c r="G24" s="117"/>
      <c r="H24" s="117"/>
      <c r="I24" s="117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3*E27+2*D27+B27*5</f>
        <v>15</v>
      </c>
      <c r="G27" s="87">
        <f>4*E27+C27+B27*21</f>
        <v>63</v>
      </c>
      <c r="H27" s="90">
        <f>(F27*G27)/1000000</f>
        <v>9.4499999999999998E-4</v>
      </c>
      <c r="I27" s="91">
        <f>I34/H27</f>
        <v>529100.52910052915</v>
      </c>
      <c r="J27" s="92">
        <f t="shared" ref="J27:K30" si="2">F27</f>
        <v>15</v>
      </c>
      <c r="K27" s="92">
        <f t="shared" si="2"/>
        <v>63</v>
      </c>
    </row>
    <row r="28" spans="1:11" ht="13.2">
      <c r="A28" s="260"/>
      <c r="B28" s="89"/>
      <c r="C28" s="6"/>
      <c r="D28" s="6"/>
      <c r="E28" s="6"/>
      <c r="F28" s="87">
        <f>3*E27+2*D27+B27*5</f>
        <v>15</v>
      </c>
      <c r="G28" s="87">
        <f>4*E27+C27+B27*21</f>
        <v>63</v>
      </c>
      <c r="H28" s="93">
        <f>F28*G28/1000000</f>
        <v>9.4499999999999998E-4</v>
      </c>
      <c r="I28" s="91">
        <f>I34/H28</f>
        <v>529100.52910052915</v>
      </c>
      <c r="J28" s="92">
        <f t="shared" si="2"/>
        <v>15</v>
      </c>
      <c r="K28" s="92">
        <f t="shared" si="2"/>
        <v>63</v>
      </c>
    </row>
    <row r="29" spans="1:11" ht="13.2">
      <c r="A29" s="260"/>
      <c r="B29" s="89"/>
      <c r="C29" s="6"/>
      <c r="D29" s="6"/>
      <c r="E29" s="6"/>
      <c r="F29" s="87">
        <f>3*E27+2*D27+B27*5</f>
        <v>15</v>
      </c>
      <c r="G29" s="87">
        <f>4*E27+C27+B27*21</f>
        <v>63</v>
      </c>
      <c r="H29" s="93">
        <f>F29*G29/1000000</f>
        <v>9.4499999999999998E-4</v>
      </c>
      <c r="I29" s="91">
        <f>I34/H29</f>
        <v>529100.52910052915</v>
      </c>
      <c r="J29" s="92">
        <f t="shared" si="2"/>
        <v>15</v>
      </c>
      <c r="K29" s="92">
        <f t="shared" si="2"/>
        <v>63</v>
      </c>
    </row>
    <row r="30" spans="1:11" ht="13.2">
      <c r="A30" s="260"/>
      <c r="B30" s="89"/>
      <c r="C30" s="6"/>
      <c r="D30" s="6"/>
      <c r="E30" s="6"/>
      <c r="F30" s="87">
        <f>3*E27+2*D27+B27*5</f>
        <v>15</v>
      </c>
      <c r="G30" s="87">
        <f>4*E27+C27+B27*21</f>
        <v>63</v>
      </c>
      <c r="H30" s="93">
        <f>F30*G30/1000000</f>
        <v>9.4499999999999998E-4</v>
      </c>
      <c r="I30" s="91">
        <f>I34/H30</f>
        <v>529100.52910052915</v>
      </c>
      <c r="J30" s="92">
        <f t="shared" si="2"/>
        <v>15</v>
      </c>
      <c r="K30" s="92">
        <f t="shared" si="2"/>
        <v>63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VLOOKUP(Kalk!K12,$M$2:$O$9,3,0)</f>
        <v>700</v>
      </c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13"/>
      <c r="C33" s="114"/>
      <c r="D33" s="114"/>
      <c r="E33" s="111"/>
      <c r="F33" s="110"/>
      <c r="G33" s="110"/>
      <c r="H33" s="90"/>
      <c r="I33" s="264"/>
    </row>
    <row r="34" spans="1:11" ht="13.2">
      <c r="A34" s="260"/>
      <c r="B34" s="115"/>
      <c r="C34" s="114"/>
      <c r="D34" s="114"/>
      <c r="E34" s="111"/>
      <c r="F34" s="110"/>
      <c r="G34" s="110"/>
      <c r="H34" s="90"/>
      <c r="I34" s="99">
        <v>500</v>
      </c>
    </row>
    <row r="35" spans="1:11" ht="13.2">
      <c r="A35" s="260"/>
      <c r="B35" s="117"/>
      <c r="C35" s="117"/>
      <c r="D35" s="117"/>
      <c r="E35" s="117"/>
      <c r="F35" s="117"/>
      <c r="G35" s="117"/>
      <c r="H35" s="117"/>
      <c r="I35" s="117"/>
    </row>
    <row r="36" spans="1:11" ht="13.2">
      <c r="A36" s="260"/>
      <c r="B36" s="117"/>
      <c r="C36" s="117"/>
      <c r="D36" s="117"/>
      <c r="E36" s="117"/>
      <c r="F36" s="117"/>
      <c r="G36" s="117"/>
      <c r="H36" s="117"/>
      <c r="I36" s="117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3*E39+2*D39+B39*5</f>
        <v>15</v>
      </c>
      <c r="G39" s="87">
        <f>4*E39+C39+B39*21</f>
        <v>63</v>
      </c>
      <c r="H39" s="90">
        <f>(F39*G39)/1000000</f>
        <v>9.4499999999999998E-4</v>
      </c>
      <c r="I39" s="91">
        <f>I46/H39</f>
        <v>529100.52910052915</v>
      </c>
      <c r="J39" s="92">
        <f t="shared" ref="J39:K42" si="3">F39</f>
        <v>15</v>
      </c>
      <c r="K39" s="92">
        <f t="shared" si="3"/>
        <v>63</v>
      </c>
    </row>
    <row r="40" spans="1:11" ht="13.2">
      <c r="A40" s="260"/>
      <c r="B40" s="89"/>
      <c r="C40" s="6"/>
      <c r="D40" s="6"/>
      <c r="E40" s="6"/>
      <c r="F40" s="87">
        <f>3*E39+2*D39+B39*5</f>
        <v>15</v>
      </c>
      <c r="G40" s="87">
        <f>4*E39+C39+B39*21</f>
        <v>63</v>
      </c>
      <c r="H40" s="93">
        <f>F40*G40/1000000</f>
        <v>9.4499999999999998E-4</v>
      </c>
      <c r="I40" s="91">
        <f>I46/H40</f>
        <v>529100.52910052915</v>
      </c>
      <c r="J40" s="92">
        <f t="shared" si="3"/>
        <v>15</v>
      </c>
      <c r="K40" s="92">
        <f t="shared" si="3"/>
        <v>63</v>
      </c>
    </row>
    <row r="41" spans="1:11" ht="13.2">
      <c r="A41" s="260"/>
      <c r="B41" s="89"/>
      <c r="C41" s="110"/>
      <c r="D41" s="117"/>
      <c r="E41" s="119"/>
      <c r="F41" s="110">
        <f>3*E39+2*D39+B39*5</f>
        <v>15</v>
      </c>
      <c r="G41" s="110">
        <f>4*E39+C39+B39*21</f>
        <v>63</v>
      </c>
      <c r="H41" s="93">
        <f>F41*G41/1000000</f>
        <v>9.4499999999999998E-4</v>
      </c>
      <c r="I41" s="91">
        <f>I46/H41</f>
        <v>529100.52910052915</v>
      </c>
      <c r="J41" s="92">
        <f t="shared" si="3"/>
        <v>15</v>
      </c>
      <c r="K41" s="92">
        <f t="shared" si="3"/>
        <v>63</v>
      </c>
    </row>
    <row r="42" spans="1:11" ht="13.2">
      <c r="A42" s="260"/>
      <c r="B42" s="89"/>
      <c r="C42" s="110"/>
      <c r="D42" s="117"/>
      <c r="E42" s="119"/>
      <c r="F42" s="110">
        <f>3*E39+2*D39+B39*5</f>
        <v>15</v>
      </c>
      <c r="G42" s="110">
        <f>4*E39+C39+B39*21</f>
        <v>63</v>
      </c>
      <c r="H42" s="93">
        <f>F42*G42/1000000</f>
        <v>9.4499999999999998E-4</v>
      </c>
      <c r="I42" s="91">
        <f>I46/H42</f>
        <v>529100.52910052915</v>
      </c>
      <c r="J42" s="92">
        <f t="shared" si="3"/>
        <v>15</v>
      </c>
      <c r="K42" s="92">
        <f t="shared" si="3"/>
        <v>63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  <c r="H43" s="117"/>
      <c r="I43" s="117"/>
      <c r="J43" s="117"/>
      <c r="K43" s="117"/>
    </row>
    <row r="44" spans="1:11" ht="13.35" customHeight="1">
      <c r="A44" s="260"/>
      <c r="B44" s="118">
        <f>VLOOKUP(Kalk!K16,$M$2:$O$9,3,0)</f>
        <v>700</v>
      </c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13"/>
      <c r="C45" s="114"/>
      <c r="D45" s="114"/>
      <c r="E45" s="111"/>
      <c r="F45" s="110"/>
      <c r="G45" s="110"/>
      <c r="H45" s="90"/>
      <c r="I45" s="264"/>
    </row>
    <row r="46" spans="1:11" ht="13.2">
      <c r="A46" s="260"/>
      <c r="B46" s="115"/>
      <c r="C46" s="114"/>
      <c r="D46" s="114"/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3*E51+2*D51+B51*5</f>
        <v>15</v>
      </c>
      <c r="G51" s="87">
        <f>4*E51+C51+B51*21</f>
        <v>63</v>
      </c>
      <c r="H51" s="90">
        <f>(F51*G51)/1000000</f>
        <v>9.4499999999999998E-4</v>
      </c>
      <c r="I51" s="91">
        <f>I58/H51</f>
        <v>529100.52910052915</v>
      </c>
      <c r="J51" s="92">
        <f t="shared" ref="J51:K54" si="4">F51</f>
        <v>15</v>
      </c>
      <c r="K51" s="92">
        <f t="shared" si="4"/>
        <v>63</v>
      </c>
    </row>
    <row r="52" spans="1:11" ht="13.2">
      <c r="A52" s="260"/>
      <c r="B52" s="89"/>
      <c r="C52" s="6"/>
      <c r="D52" s="6"/>
      <c r="E52" s="6"/>
      <c r="F52" s="87">
        <f>3*E51+2*D51+B51*5</f>
        <v>15</v>
      </c>
      <c r="G52" s="87">
        <f>4*E51+C51+B51*21</f>
        <v>63</v>
      </c>
      <c r="H52" s="93">
        <f>F52*G52/1000000</f>
        <v>9.4499999999999998E-4</v>
      </c>
      <c r="I52" s="91">
        <f>I58/H52</f>
        <v>529100.52910052915</v>
      </c>
      <c r="J52" s="92">
        <f t="shared" si="4"/>
        <v>15</v>
      </c>
      <c r="K52" s="92">
        <f t="shared" si="4"/>
        <v>63</v>
      </c>
    </row>
    <row r="53" spans="1:11" ht="13.2">
      <c r="A53" s="260"/>
      <c r="B53" s="89"/>
      <c r="C53" s="110"/>
      <c r="D53" s="117"/>
      <c r="E53" s="119"/>
      <c r="F53" s="110">
        <f>3*E51+2*D51+B51*5</f>
        <v>15</v>
      </c>
      <c r="G53" s="110">
        <f>4*E51+C51+B51*21</f>
        <v>63</v>
      </c>
      <c r="H53" s="93">
        <f>F53*G53/1000000</f>
        <v>9.4499999999999998E-4</v>
      </c>
      <c r="I53" s="91">
        <f>I58/H53</f>
        <v>529100.52910052915</v>
      </c>
      <c r="J53" s="92">
        <f t="shared" si="4"/>
        <v>15</v>
      </c>
      <c r="K53" s="92">
        <f t="shared" si="4"/>
        <v>63</v>
      </c>
    </row>
    <row r="54" spans="1:11" ht="13.2">
      <c r="A54" s="260"/>
      <c r="B54" s="89"/>
      <c r="C54" s="110"/>
      <c r="D54" s="117"/>
      <c r="E54" s="119"/>
      <c r="F54" s="110">
        <f>3*E51+2*D51+B51*5</f>
        <v>15</v>
      </c>
      <c r="G54" s="110">
        <f>4*E51+C51+B51*21</f>
        <v>63</v>
      </c>
      <c r="H54" s="93">
        <f>F54*G54/1000000</f>
        <v>9.4499999999999998E-4</v>
      </c>
      <c r="I54" s="91">
        <f>I58/H54</f>
        <v>529100.52910052915</v>
      </c>
      <c r="J54" s="92">
        <f t="shared" si="4"/>
        <v>15</v>
      </c>
      <c r="K54" s="92">
        <f t="shared" si="4"/>
        <v>63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VLOOKUP(Kalk!K20,$M$2:$O$9,3,0)</f>
        <v>700</v>
      </c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13"/>
      <c r="C57" s="114"/>
      <c r="D57" s="114"/>
      <c r="E57" s="111"/>
      <c r="F57" s="110"/>
      <c r="G57" s="110"/>
      <c r="H57" s="90"/>
      <c r="I57" s="264"/>
    </row>
    <row r="58" spans="1:11" ht="13.2">
      <c r="A58" s="260"/>
      <c r="B58" s="115"/>
      <c r="C58" s="114"/>
      <c r="D58" s="114"/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3*E63+2*D63+B63*5</f>
        <v>15</v>
      </c>
      <c r="G63" s="87">
        <f>4*E63+C63+B63*21</f>
        <v>63</v>
      </c>
      <c r="H63" s="90">
        <f>(F63*G63)/1000000</f>
        <v>9.4499999999999998E-4</v>
      </c>
      <c r="I63" s="91">
        <f>I70/H63</f>
        <v>529100.52910052915</v>
      </c>
      <c r="J63" s="92">
        <f t="shared" ref="J63:K66" si="5">F63</f>
        <v>15</v>
      </c>
      <c r="K63" s="92">
        <f t="shared" si="5"/>
        <v>63</v>
      </c>
    </row>
    <row r="64" spans="1:11" ht="13.2">
      <c r="A64" s="260"/>
      <c r="B64" s="89"/>
      <c r="C64" s="6"/>
      <c r="D64" s="6"/>
      <c r="E64" s="6"/>
      <c r="F64" s="87">
        <f>3*E63+2*D63+B63*5</f>
        <v>15</v>
      </c>
      <c r="G64" s="87">
        <f>4*E63+C63+B63*21</f>
        <v>63</v>
      </c>
      <c r="H64" s="93">
        <f>F64*G64/1000000</f>
        <v>9.4499999999999998E-4</v>
      </c>
      <c r="I64" s="91">
        <f>I70/H64</f>
        <v>529100.52910052915</v>
      </c>
      <c r="J64" s="92">
        <f t="shared" si="5"/>
        <v>15</v>
      </c>
      <c r="K64" s="92">
        <f t="shared" si="5"/>
        <v>63</v>
      </c>
    </row>
    <row r="65" spans="1:11" ht="13.2">
      <c r="A65" s="260"/>
      <c r="B65" s="89"/>
      <c r="C65" s="110"/>
      <c r="D65" s="117"/>
      <c r="E65" s="119"/>
      <c r="F65" s="110">
        <f>3*E63+2*D63+B63*5</f>
        <v>15</v>
      </c>
      <c r="G65" s="110">
        <f>4*E63+C63+B63*21</f>
        <v>63</v>
      </c>
      <c r="H65" s="93">
        <f>F65*G65/1000000</f>
        <v>9.4499999999999998E-4</v>
      </c>
      <c r="I65" s="91">
        <f>I70/H65</f>
        <v>529100.52910052915</v>
      </c>
      <c r="J65" s="92">
        <f t="shared" si="5"/>
        <v>15</v>
      </c>
      <c r="K65" s="92">
        <f t="shared" si="5"/>
        <v>63</v>
      </c>
    </row>
    <row r="66" spans="1:11" ht="13.2">
      <c r="A66" s="260"/>
      <c r="B66" s="89"/>
      <c r="C66" s="110"/>
      <c r="D66" s="117"/>
      <c r="E66" s="119"/>
      <c r="F66" s="110">
        <f>3*E63+2*D63+B63*5</f>
        <v>15</v>
      </c>
      <c r="G66" s="110">
        <f>4*E63+C63+B63*21</f>
        <v>63</v>
      </c>
      <c r="H66" s="93">
        <f>F66*G66/1000000</f>
        <v>9.4499999999999998E-4</v>
      </c>
      <c r="I66" s="91">
        <f>I70/H66</f>
        <v>529100.52910052915</v>
      </c>
      <c r="J66" s="92">
        <f t="shared" si="5"/>
        <v>15</v>
      </c>
      <c r="K66" s="92">
        <f t="shared" si="5"/>
        <v>63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VLOOKUP(Kalk!K24,$M$2:$O$9,3,0)</f>
        <v>700</v>
      </c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13"/>
      <c r="C69" s="114"/>
      <c r="D69" s="114"/>
      <c r="E69" s="111"/>
      <c r="F69" s="110"/>
      <c r="G69" s="110"/>
      <c r="H69" s="90"/>
      <c r="I69" s="264"/>
    </row>
    <row r="70" spans="1:11" ht="13.2">
      <c r="A70" s="260"/>
      <c r="B70" s="115"/>
      <c r="C70" s="114"/>
      <c r="D70" s="114"/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3*E75+2*D75+B75*5</f>
        <v>15</v>
      </c>
      <c r="G75" s="87">
        <f>4*E75+C75+B75*21</f>
        <v>63</v>
      </c>
      <c r="H75" s="90">
        <f>(F75*G75)/1000000</f>
        <v>9.4499999999999998E-4</v>
      </c>
      <c r="I75" s="91">
        <f>I82/H75</f>
        <v>529100.52910052915</v>
      </c>
      <c r="J75" s="92">
        <f t="shared" ref="J75:K78" si="6">F75</f>
        <v>15</v>
      </c>
      <c r="K75" s="92">
        <f t="shared" si="6"/>
        <v>63</v>
      </c>
    </row>
    <row r="76" spans="1:11" ht="13.2">
      <c r="A76" s="260"/>
      <c r="B76" s="89"/>
      <c r="C76" s="6"/>
      <c r="D76" s="6"/>
      <c r="E76" s="6"/>
      <c r="F76" s="87">
        <f>3*E75+2*D75+B75*5</f>
        <v>15</v>
      </c>
      <c r="G76" s="87">
        <f>4*E75+C75+B75*21</f>
        <v>63</v>
      </c>
      <c r="H76" s="93">
        <f>F76*G76/1000000</f>
        <v>9.4499999999999998E-4</v>
      </c>
      <c r="I76" s="91">
        <f>I82/H76</f>
        <v>529100.52910052915</v>
      </c>
      <c r="J76" s="92">
        <f t="shared" si="6"/>
        <v>15</v>
      </c>
      <c r="K76" s="92">
        <f t="shared" si="6"/>
        <v>63</v>
      </c>
    </row>
    <row r="77" spans="1:11" ht="13.2">
      <c r="A77" s="260"/>
      <c r="B77" s="89"/>
      <c r="C77" s="110"/>
      <c r="D77" s="117"/>
      <c r="E77" s="119"/>
      <c r="F77" s="110">
        <f>3*E75+2*D75+B75*5</f>
        <v>15</v>
      </c>
      <c r="G77" s="110">
        <f>4*E75+C75+B75*21</f>
        <v>63</v>
      </c>
      <c r="H77" s="93">
        <f>F77*G77/1000000</f>
        <v>9.4499999999999998E-4</v>
      </c>
      <c r="I77" s="91">
        <f>I82/H77</f>
        <v>529100.52910052915</v>
      </c>
      <c r="J77" s="92">
        <f t="shared" si="6"/>
        <v>15</v>
      </c>
      <c r="K77" s="92">
        <f t="shared" si="6"/>
        <v>63</v>
      </c>
    </row>
    <row r="78" spans="1:11" ht="13.2">
      <c r="A78" s="260"/>
      <c r="B78" s="89"/>
      <c r="C78" s="110"/>
      <c r="D78" s="117"/>
      <c r="E78" s="119"/>
      <c r="F78" s="110">
        <f>3*E75+2*D75+B75*5</f>
        <v>15</v>
      </c>
      <c r="G78" s="110">
        <f>4*E75+C75+B75*21</f>
        <v>63</v>
      </c>
      <c r="H78" s="93">
        <f>F78*G78/1000000</f>
        <v>9.4499999999999998E-4</v>
      </c>
      <c r="I78" s="91">
        <f>I82/H78</f>
        <v>529100.52910052915</v>
      </c>
      <c r="J78" s="92">
        <f t="shared" si="6"/>
        <v>15</v>
      </c>
      <c r="K78" s="92">
        <f t="shared" si="6"/>
        <v>63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VLOOKUP(Kalk!K28,$M$2:$O$9,3,0)</f>
        <v>700</v>
      </c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13"/>
      <c r="C81" s="114"/>
      <c r="D81" s="114"/>
      <c r="E81" s="111"/>
      <c r="F81" s="110"/>
      <c r="G81" s="110"/>
      <c r="H81" s="90"/>
      <c r="I81" s="264"/>
    </row>
    <row r="82" spans="1:11" ht="13.2">
      <c r="A82" s="260"/>
      <c r="B82" s="115"/>
      <c r="C82" s="114"/>
      <c r="D82" s="114"/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3*E87+2*D87+B87*5</f>
        <v>15</v>
      </c>
      <c r="G87" s="87">
        <f>4*E87+C87+B87*21</f>
        <v>63</v>
      </c>
      <c r="H87" s="90">
        <f>(F87*G87)/1000000</f>
        <v>9.4499999999999998E-4</v>
      </c>
      <c r="I87" s="91">
        <f>I94/H87</f>
        <v>529100.52910052915</v>
      </c>
      <c r="J87" s="92">
        <f t="shared" ref="J87:K90" si="7">F87</f>
        <v>15</v>
      </c>
      <c r="K87" s="92">
        <f t="shared" si="7"/>
        <v>63</v>
      </c>
    </row>
    <row r="88" spans="1:11" ht="13.2">
      <c r="A88" s="260"/>
      <c r="B88" s="89"/>
      <c r="C88" s="6"/>
      <c r="D88" s="6"/>
      <c r="E88" s="6"/>
      <c r="F88" s="87">
        <f>3*E87+2*D87+B87*5</f>
        <v>15</v>
      </c>
      <c r="G88" s="87">
        <f>4*E87+C87+B87*21</f>
        <v>63</v>
      </c>
      <c r="H88" s="93">
        <f>F88*G88/1000000</f>
        <v>9.4499999999999998E-4</v>
      </c>
      <c r="I88" s="91">
        <f>I94/H88</f>
        <v>529100.52910052915</v>
      </c>
      <c r="J88" s="92">
        <f t="shared" si="7"/>
        <v>15</v>
      </c>
      <c r="K88" s="92">
        <f t="shared" si="7"/>
        <v>63</v>
      </c>
    </row>
    <row r="89" spans="1:11" ht="13.2">
      <c r="A89" s="260"/>
      <c r="B89" s="89"/>
      <c r="C89" s="110"/>
      <c r="D89" s="117"/>
      <c r="E89" s="119"/>
      <c r="F89" s="110">
        <f>3*E87+2*D87+B87*5</f>
        <v>15</v>
      </c>
      <c r="G89" s="110">
        <f>4*E87+C87+B87*21</f>
        <v>63</v>
      </c>
      <c r="H89" s="93">
        <f>F89*G89/1000000</f>
        <v>9.4499999999999998E-4</v>
      </c>
      <c r="I89" s="91">
        <f>I94/H89</f>
        <v>529100.52910052915</v>
      </c>
      <c r="J89" s="92">
        <f t="shared" si="7"/>
        <v>15</v>
      </c>
      <c r="K89" s="92">
        <f t="shared" si="7"/>
        <v>63</v>
      </c>
    </row>
    <row r="90" spans="1:11" ht="13.2">
      <c r="A90" s="260"/>
      <c r="B90" s="89"/>
      <c r="C90" s="110"/>
      <c r="D90" s="117"/>
      <c r="E90" s="119"/>
      <c r="F90" s="110">
        <f>3*E87+2*D87+B87*5</f>
        <v>15</v>
      </c>
      <c r="G90" s="110">
        <f>4*E87+C87+B87*21</f>
        <v>63</v>
      </c>
      <c r="H90" s="93">
        <f>F90*G90/1000000</f>
        <v>9.4499999999999998E-4</v>
      </c>
      <c r="I90" s="91">
        <f>I94/H90</f>
        <v>529100.52910052915</v>
      </c>
      <c r="J90" s="92">
        <f t="shared" si="7"/>
        <v>15</v>
      </c>
      <c r="K90" s="92">
        <f t="shared" si="7"/>
        <v>63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VLOOKUP(Kalk!K32,$M$2:$O$9,3,0)</f>
        <v>700</v>
      </c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13"/>
      <c r="C93" s="114"/>
      <c r="D93" s="114"/>
      <c r="E93" s="111"/>
      <c r="F93" s="110"/>
      <c r="G93" s="110"/>
      <c r="H93" s="90"/>
      <c r="I93" s="264"/>
    </row>
    <row r="94" spans="1:11" ht="13.2">
      <c r="A94" s="260"/>
      <c r="B94" s="115"/>
      <c r="C94" s="114"/>
      <c r="D94" s="114"/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3*E99+2*D99+B99*5</f>
        <v>15</v>
      </c>
      <c r="G99" s="87">
        <f>4*E99+C99+B99*21</f>
        <v>63</v>
      </c>
      <c r="H99" s="90">
        <f>(F99*G99)/1000000</f>
        <v>9.4499999999999998E-4</v>
      </c>
      <c r="I99" s="91">
        <f>I106/H99</f>
        <v>529100.52910052915</v>
      </c>
      <c r="J99" s="92">
        <f t="shared" ref="J99:K102" si="8">F99</f>
        <v>15</v>
      </c>
      <c r="K99" s="92">
        <f t="shared" si="8"/>
        <v>63</v>
      </c>
    </row>
    <row r="100" spans="1:11" ht="13.2">
      <c r="A100" s="260"/>
      <c r="B100" s="89"/>
      <c r="C100" s="6"/>
      <c r="D100" s="6"/>
      <c r="E100" s="6"/>
      <c r="F100" s="87">
        <f>3*E99+2*D99+B99*5</f>
        <v>15</v>
      </c>
      <c r="G100" s="87">
        <f>4*E99+C99+B99*21</f>
        <v>63</v>
      </c>
      <c r="H100" s="93">
        <f>F100*G100/1000000</f>
        <v>9.4499999999999998E-4</v>
      </c>
      <c r="I100" s="91">
        <f>I106/H100</f>
        <v>529100.52910052915</v>
      </c>
      <c r="J100" s="92">
        <f t="shared" si="8"/>
        <v>15</v>
      </c>
      <c r="K100" s="92">
        <f t="shared" si="8"/>
        <v>63</v>
      </c>
    </row>
    <row r="101" spans="1:11" ht="13.2">
      <c r="A101" s="260"/>
      <c r="B101" s="89"/>
      <c r="C101" s="110"/>
      <c r="D101" s="117"/>
      <c r="E101" s="119"/>
      <c r="F101" s="110">
        <f>3*E99+2*D99+B99*5</f>
        <v>15</v>
      </c>
      <c r="G101" s="110">
        <f>4*E99+C99+B99*21</f>
        <v>63</v>
      </c>
      <c r="H101" s="93">
        <f>F101*G101/1000000</f>
        <v>9.4499999999999998E-4</v>
      </c>
      <c r="I101" s="91">
        <f>I106/H101</f>
        <v>529100.52910052915</v>
      </c>
      <c r="J101" s="92">
        <f t="shared" si="8"/>
        <v>15</v>
      </c>
      <c r="K101" s="92">
        <f t="shared" si="8"/>
        <v>63</v>
      </c>
    </row>
    <row r="102" spans="1:11" ht="13.2">
      <c r="A102" s="260"/>
      <c r="B102" s="89"/>
      <c r="C102" s="110"/>
      <c r="D102" s="117"/>
      <c r="E102" s="119"/>
      <c r="F102" s="110">
        <f>3*E99+2*D99+B99*5</f>
        <v>15</v>
      </c>
      <c r="G102" s="110">
        <f>4*E99+C99+B99*21</f>
        <v>63</v>
      </c>
      <c r="H102" s="93">
        <f>F102*G102/1000000</f>
        <v>9.4499999999999998E-4</v>
      </c>
      <c r="I102" s="91">
        <f>I106/H102</f>
        <v>529100.52910052915</v>
      </c>
      <c r="J102" s="92">
        <f t="shared" si="8"/>
        <v>15</v>
      </c>
      <c r="K102" s="92">
        <f t="shared" si="8"/>
        <v>63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VLOOKUP(Kalk!K36,$M$2:$O$9,3,0)</f>
        <v>700</v>
      </c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13"/>
      <c r="C105" s="114"/>
      <c r="D105" s="114"/>
      <c r="E105" s="111"/>
      <c r="F105" s="110"/>
      <c r="G105" s="110"/>
      <c r="H105" s="90"/>
      <c r="I105" s="264"/>
    </row>
    <row r="106" spans="1:11" ht="13.2">
      <c r="A106" s="260"/>
      <c r="B106" s="115"/>
      <c r="C106" s="114"/>
      <c r="D106" s="114"/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3*E111+2*D111+B111*5</f>
        <v>15</v>
      </c>
      <c r="G111" s="87">
        <f>4*E111+C111+B111*21</f>
        <v>63</v>
      </c>
      <c r="H111" s="90">
        <f>(F111*G111)/1000000</f>
        <v>9.4499999999999998E-4</v>
      </c>
      <c r="I111" s="91">
        <f>I118/H111</f>
        <v>529100.52910052915</v>
      </c>
      <c r="J111" s="92">
        <f t="shared" ref="J111:K114" si="9">F111</f>
        <v>15</v>
      </c>
      <c r="K111" s="92">
        <f t="shared" si="9"/>
        <v>63</v>
      </c>
    </row>
    <row r="112" spans="1:11" ht="13.2">
      <c r="A112" s="260"/>
      <c r="B112" s="89"/>
      <c r="C112" s="6"/>
      <c r="D112" s="6"/>
      <c r="E112" s="6"/>
      <c r="F112" s="87">
        <f>3*E111+2*D111+B111*5</f>
        <v>15</v>
      </c>
      <c r="G112" s="87">
        <f>4*E111+C111+B111*21</f>
        <v>63</v>
      </c>
      <c r="H112" s="93">
        <f>F112*G112/1000000</f>
        <v>9.4499999999999998E-4</v>
      </c>
      <c r="I112" s="91">
        <f>I118/H112</f>
        <v>529100.52910052915</v>
      </c>
      <c r="J112" s="92">
        <f t="shared" si="9"/>
        <v>15</v>
      </c>
      <c r="K112" s="92">
        <f t="shared" si="9"/>
        <v>63</v>
      </c>
    </row>
    <row r="113" spans="1:11" ht="13.2">
      <c r="A113" s="260"/>
      <c r="B113" s="89"/>
      <c r="C113" s="110"/>
      <c r="D113" s="117"/>
      <c r="E113" s="119"/>
      <c r="F113" s="110">
        <f>3*E111+2*D111+B111*5</f>
        <v>15</v>
      </c>
      <c r="G113" s="110">
        <f>4*E111+C111+B111*21</f>
        <v>63</v>
      </c>
      <c r="H113" s="93">
        <f>F113*G113/1000000</f>
        <v>9.4499999999999998E-4</v>
      </c>
      <c r="I113" s="91">
        <f>I118/H113</f>
        <v>529100.52910052915</v>
      </c>
      <c r="J113" s="92">
        <f t="shared" si="9"/>
        <v>15</v>
      </c>
      <c r="K113" s="92">
        <f t="shared" si="9"/>
        <v>63</v>
      </c>
    </row>
    <row r="114" spans="1:11" ht="13.2">
      <c r="A114" s="260"/>
      <c r="B114" s="89"/>
      <c r="C114" s="110"/>
      <c r="D114" s="117"/>
      <c r="E114" s="119"/>
      <c r="F114" s="110">
        <f>3*E111+2*D111+B111*5</f>
        <v>15</v>
      </c>
      <c r="G114" s="110">
        <f>4*E111+C111+B111*21</f>
        <v>63</v>
      </c>
      <c r="H114" s="93">
        <f>F114*G114/1000000</f>
        <v>9.4499999999999998E-4</v>
      </c>
      <c r="I114" s="91">
        <f>I118/H114</f>
        <v>529100.52910052915</v>
      </c>
      <c r="J114" s="92">
        <f t="shared" si="9"/>
        <v>15</v>
      </c>
      <c r="K114" s="92">
        <f t="shared" si="9"/>
        <v>63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VLOOKUP(Kalk!K40,$M$2:$O$9,3,0)</f>
        <v>700</v>
      </c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13"/>
      <c r="C117" s="114"/>
      <c r="D117" s="114"/>
      <c r="E117" s="111"/>
      <c r="F117" s="110"/>
      <c r="G117" s="110"/>
      <c r="H117" s="90"/>
      <c r="I117" s="264"/>
    </row>
    <row r="118" spans="1:11" ht="13.2">
      <c r="A118" s="260"/>
      <c r="B118" s="115"/>
      <c r="C118" s="114"/>
      <c r="D118" s="114"/>
      <c r="E118" s="111"/>
      <c r="F118" s="110"/>
      <c r="G118" s="110"/>
      <c r="H118" s="90"/>
      <c r="I118" s="99">
        <v>500</v>
      </c>
    </row>
    <row r="119" spans="1:11" ht="13.2">
      <c r="A119" s="260"/>
      <c r="B119" s="117"/>
      <c r="C119" s="117"/>
      <c r="D119" s="117"/>
      <c r="E119" s="117"/>
      <c r="F119" s="117"/>
      <c r="G119" s="117"/>
      <c r="H119" s="117"/>
      <c r="I119" s="117"/>
    </row>
    <row r="120" spans="1:11" ht="13.2">
      <c r="A120" s="260"/>
      <c r="B120" s="117"/>
      <c r="C120" s="117"/>
      <c r="D120" s="117"/>
      <c r="E120" s="117"/>
      <c r="F120" s="117"/>
      <c r="G120" s="117"/>
      <c r="H120" s="117"/>
      <c r="I120" s="117"/>
    </row>
  </sheetData>
  <mergeCells count="41">
    <mergeCell ref="M1:N1"/>
    <mergeCell ref="A2:A12"/>
    <mergeCell ref="F2:G2"/>
    <mergeCell ref="J2:K2"/>
    <mergeCell ref="I8:I9"/>
    <mergeCell ref="A14:A24"/>
    <mergeCell ref="F14:G14"/>
    <mergeCell ref="J14:K14"/>
    <mergeCell ref="I20:I21"/>
    <mergeCell ref="A26:A36"/>
    <mergeCell ref="F26:G26"/>
    <mergeCell ref="J26:K26"/>
    <mergeCell ref="I32:I33"/>
    <mergeCell ref="A38:A48"/>
    <mergeCell ref="F38:G38"/>
    <mergeCell ref="J38:K38"/>
    <mergeCell ref="I44:I45"/>
    <mergeCell ref="A50:A60"/>
    <mergeCell ref="F50:G50"/>
    <mergeCell ref="J50:K50"/>
    <mergeCell ref="I56:I57"/>
    <mergeCell ref="A62:A72"/>
    <mergeCell ref="F62:G62"/>
    <mergeCell ref="J62:K62"/>
    <mergeCell ref="I68:I69"/>
    <mergeCell ref="A74:A84"/>
    <mergeCell ref="F74:G74"/>
    <mergeCell ref="J74:K74"/>
    <mergeCell ref="I80:I81"/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  <pageSetUpPr fitToPage="1"/>
  </sheetPr>
  <dimension ref="A1:P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6" ht="13.2">
      <c r="M1" s="266" t="s">
        <v>73</v>
      </c>
      <c r="N1" s="266"/>
      <c r="O1" s="116" t="s">
        <v>83</v>
      </c>
      <c r="P1" s="108" t="s">
        <v>84</v>
      </c>
    </row>
    <row r="2" spans="1:16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  <c r="P2" s="88">
        <v>6</v>
      </c>
    </row>
    <row r="3" spans="1:16" ht="13.2">
      <c r="A3" s="260"/>
      <c r="B3" s="118">
        <f>VLOOKUP(Kalk!K4,$M$2:$N$8,2,0)</f>
        <v>7</v>
      </c>
      <c r="C3" s="85">
        <f>Kalk!C4</f>
        <v>0</v>
      </c>
      <c r="D3" s="85">
        <f>Kalk!E4</f>
        <v>0</v>
      </c>
      <c r="E3" s="85">
        <f>Kalk!G4</f>
        <v>0</v>
      </c>
      <c r="F3" s="87">
        <f>2*E3+C3+2*B3</f>
        <v>14</v>
      </c>
      <c r="G3" s="87">
        <f>2*E3+D3+3*B3</f>
        <v>21</v>
      </c>
      <c r="H3" s="90">
        <f>(F3*G3)/1000000</f>
        <v>2.9399999999999999E-4</v>
      </c>
      <c r="I3" s="91">
        <f>I10/H3</f>
        <v>1700680.2721088436</v>
      </c>
      <c r="J3" s="92">
        <f>C3+10</f>
        <v>10</v>
      </c>
      <c r="K3" s="92">
        <f>D3+10</f>
        <v>10</v>
      </c>
      <c r="M3" s="109" t="s">
        <v>77</v>
      </c>
      <c r="N3" s="110">
        <v>3</v>
      </c>
      <c r="O3" s="117">
        <v>700</v>
      </c>
      <c r="P3" s="110">
        <v>9</v>
      </c>
    </row>
    <row r="4" spans="1:16" ht="13.2">
      <c r="A4" s="260"/>
      <c r="B4" s="89"/>
      <c r="C4" s="6"/>
      <c r="D4" s="6"/>
      <c r="E4" s="6"/>
      <c r="F4" s="87">
        <f>2*E3+C3+2*B3</f>
        <v>14</v>
      </c>
      <c r="G4" s="87">
        <f>2*E3+D3+3*B3</f>
        <v>21</v>
      </c>
      <c r="H4" s="90">
        <f>(F4*G4)/1000000</f>
        <v>2.9399999999999999E-4</v>
      </c>
      <c r="I4" s="91">
        <f>I10/H4</f>
        <v>1700680.2721088436</v>
      </c>
      <c r="J4" s="92">
        <f>C3+10</f>
        <v>10</v>
      </c>
      <c r="K4" s="92">
        <f>D3+10</f>
        <v>10</v>
      </c>
      <c r="M4" s="111" t="s">
        <v>78</v>
      </c>
      <c r="N4" s="112">
        <v>4</v>
      </c>
      <c r="O4" s="117">
        <v>500</v>
      </c>
      <c r="P4" s="112">
        <v>12</v>
      </c>
    </row>
    <row r="5" spans="1:16" ht="13.2">
      <c r="A5" s="260"/>
      <c r="B5" s="89"/>
      <c r="C5" s="6"/>
      <c r="D5" s="6"/>
      <c r="E5" s="6"/>
      <c r="F5" s="87">
        <f>2*E3+C3+2*B3</f>
        <v>14</v>
      </c>
      <c r="G5" s="87">
        <f>2*E3+D3+3*B3</f>
        <v>21</v>
      </c>
      <c r="H5" s="90">
        <f>(F5*G5)/1000000</f>
        <v>2.9399999999999999E-4</v>
      </c>
      <c r="I5" s="91">
        <f>I10/H5</f>
        <v>1700680.2721088436</v>
      </c>
      <c r="J5" s="92">
        <f>C3+10</f>
        <v>10</v>
      </c>
      <c r="K5" s="92">
        <f>D3+10</f>
        <v>10</v>
      </c>
      <c r="M5" s="113" t="s">
        <v>79</v>
      </c>
      <c r="N5" s="114">
        <v>5</v>
      </c>
      <c r="O5" s="117">
        <v>420</v>
      </c>
      <c r="P5" s="114">
        <v>15</v>
      </c>
    </row>
    <row r="6" spans="1:16" ht="13.2">
      <c r="A6" s="260"/>
      <c r="B6" s="89"/>
      <c r="C6" s="6"/>
      <c r="D6" s="6"/>
      <c r="E6" s="6"/>
      <c r="F6" s="87">
        <f>2*E3+C3+2*B3</f>
        <v>14</v>
      </c>
      <c r="G6" s="87">
        <f>2*E3+D3+3*B3</f>
        <v>21</v>
      </c>
      <c r="H6" s="90">
        <f>(F6*G6)/1000000</f>
        <v>2.9399999999999999E-4</v>
      </c>
      <c r="I6" s="91">
        <f>I10/H6</f>
        <v>1700680.2721088436</v>
      </c>
      <c r="J6" s="92">
        <f>C3+10</f>
        <v>10</v>
      </c>
      <c r="K6" s="92">
        <f>D3+10</f>
        <v>10</v>
      </c>
      <c r="M6" s="115" t="s">
        <v>80</v>
      </c>
      <c r="N6" s="114">
        <v>7</v>
      </c>
      <c r="O6" s="117">
        <v>300</v>
      </c>
      <c r="P6" s="114">
        <v>21</v>
      </c>
    </row>
    <row r="7" spans="1:16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13</v>
      </c>
      <c r="O7" s="117">
        <v>160</v>
      </c>
      <c r="P7" s="114">
        <v>39</v>
      </c>
    </row>
    <row r="8" spans="1:16" ht="13.35" customHeight="1">
      <c r="A8" s="260"/>
      <c r="B8" s="118">
        <f>VLOOKUP(Kalk!K4,$M$2:$O$9,3,0)/4</f>
        <v>75</v>
      </c>
      <c r="C8" s="112"/>
      <c r="D8" s="120"/>
      <c r="E8" s="119"/>
      <c r="F8" s="121"/>
      <c r="G8" s="121"/>
      <c r="H8" s="87"/>
      <c r="I8" s="264" t="s">
        <v>63</v>
      </c>
      <c r="M8" s="122"/>
      <c r="N8" s="123"/>
      <c r="O8" s="123"/>
    </row>
    <row r="9" spans="1:16" ht="13.2">
      <c r="A9" s="260"/>
      <c r="B9" s="113"/>
      <c r="C9" s="114"/>
      <c r="D9" s="114"/>
      <c r="E9" s="111"/>
      <c r="F9" s="110"/>
      <c r="G9" s="110"/>
      <c r="H9" s="90"/>
      <c r="I9" s="264"/>
      <c r="M9" s="122"/>
      <c r="N9" s="123"/>
      <c r="O9" s="123"/>
    </row>
    <row r="10" spans="1:16" ht="13.2">
      <c r="A10" s="260"/>
      <c r="B10" s="115"/>
      <c r="C10" s="114"/>
      <c r="D10" s="114"/>
      <c r="E10" s="111"/>
      <c r="F10" s="110"/>
      <c r="G10" s="110"/>
      <c r="H10" s="90"/>
      <c r="I10" s="99">
        <v>500</v>
      </c>
    </row>
    <row r="11" spans="1:16" ht="13.2">
      <c r="A11" s="260"/>
    </row>
    <row r="12" spans="1:16" ht="13.2">
      <c r="A12" s="260"/>
    </row>
    <row r="13" spans="1:16" ht="13.2"/>
    <row r="14" spans="1:16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6" ht="13.2">
      <c r="A15" s="260"/>
      <c r="B15" s="118">
        <f>VLOOKUP(Kalk!K8,$M$2:$N$8,2,0)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2*E15+C15+2*B15</f>
        <v>14</v>
      </c>
      <c r="G15" s="87">
        <f>2*E15+D15+3*B15</f>
        <v>21</v>
      </c>
      <c r="H15" s="90">
        <f>(F15*G15)/1000000</f>
        <v>2.9399999999999999E-4</v>
      </c>
      <c r="I15" s="91">
        <f>I22/H15</f>
        <v>1700680.2721088436</v>
      </c>
      <c r="J15" s="92">
        <f>C15+10</f>
        <v>10</v>
      </c>
      <c r="K15" s="92">
        <f>D15+10</f>
        <v>10</v>
      </c>
    </row>
    <row r="16" spans="1:16" ht="13.2">
      <c r="A16" s="260"/>
      <c r="B16" s="89"/>
      <c r="C16" s="6"/>
      <c r="D16" s="6"/>
      <c r="E16" s="6"/>
      <c r="F16" s="87">
        <f>2*E15+C15+2*B15</f>
        <v>14</v>
      </c>
      <c r="G16" s="87">
        <f>2*E15+D15+3*B15</f>
        <v>21</v>
      </c>
      <c r="H16" s="90">
        <f>(F16*G16)/1000000</f>
        <v>2.9399999999999999E-4</v>
      </c>
      <c r="I16" s="91">
        <f>I22/H16</f>
        <v>1700680.2721088436</v>
      </c>
      <c r="J16" s="92">
        <f>C15+10</f>
        <v>10</v>
      </c>
      <c r="K16" s="92">
        <f>D15+10</f>
        <v>10</v>
      </c>
    </row>
    <row r="17" spans="1:11" ht="13.2">
      <c r="A17" s="260"/>
      <c r="B17" s="89"/>
      <c r="C17" s="6"/>
      <c r="D17" s="6"/>
      <c r="E17" s="6"/>
      <c r="F17" s="87">
        <f>2*E15+C15+2*B15</f>
        <v>14</v>
      </c>
      <c r="G17" s="87">
        <f>2*E15+D15+3*B15</f>
        <v>21</v>
      </c>
      <c r="H17" s="90">
        <f>(F17*G17)/1000000</f>
        <v>2.9399999999999999E-4</v>
      </c>
      <c r="I17" s="91">
        <f>I22/H17</f>
        <v>1700680.2721088436</v>
      </c>
      <c r="J17" s="92">
        <f>C15+10</f>
        <v>10</v>
      </c>
      <c r="K17" s="92">
        <f>D15+10</f>
        <v>10</v>
      </c>
    </row>
    <row r="18" spans="1:11" ht="13.2">
      <c r="A18" s="260"/>
      <c r="B18" s="89"/>
      <c r="C18" s="6"/>
      <c r="D18" s="6"/>
      <c r="E18" s="6"/>
      <c r="F18" s="87">
        <f>2*E15+C15+2*B15</f>
        <v>14</v>
      </c>
      <c r="G18" s="87">
        <f>2*E15+D15+3*B15</f>
        <v>21</v>
      </c>
      <c r="H18" s="90">
        <f>(F18*G18)/1000000</f>
        <v>2.9399999999999999E-4</v>
      </c>
      <c r="I18" s="91">
        <f>I22/H18</f>
        <v>1700680.2721088436</v>
      </c>
      <c r="J18" s="92">
        <f>C15+10</f>
        <v>10</v>
      </c>
      <c r="K18" s="92">
        <f>D15+10</f>
        <v>10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VLOOKUP(Kalk!K8,$M$2:$P$9,3,0)/4</f>
        <v>75</v>
      </c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13"/>
      <c r="C21" s="114"/>
      <c r="D21" s="114"/>
      <c r="E21" s="111"/>
      <c r="F21" s="110"/>
      <c r="G21" s="110"/>
      <c r="H21" s="90"/>
      <c r="I21" s="264"/>
    </row>
    <row r="22" spans="1:11" ht="13.2">
      <c r="A22" s="260"/>
      <c r="B22" s="115"/>
      <c r="C22" s="114"/>
      <c r="D22" s="114"/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2*E27+C27+2*B27</f>
        <v>6</v>
      </c>
      <c r="G27" s="87">
        <f>2*E27+D27+3*B27</f>
        <v>9</v>
      </c>
      <c r="H27" s="90">
        <f>(F27*G27)/1000000</f>
        <v>5.3999999999999998E-5</v>
      </c>
      <c r="I27" s="91">
        <f>I34/H27</f>
        <v>9259259.2592592593</v>
      </c>
      <c r="J27" s="92">
        <f>C27+10</f>
        <v>10</v>
      </c>
      <c r="K27" s="92">
        <f>D27+10</f>
        <v>10</v>
      </c>
    </row>
    <row r="28" spans="1:11" ht="13.2">
      <c r="A28" s="260"/>
      <c r="B28" s="89"/>
      <c r="C28" s="6"/>
      <c r="D28" s="6"/>
      <c r="E28" s="6"/>
      <c r="F28" s="87">
        <f>2*E27+C27+2*B27</f>
        <v>6</v>
      </c>
      <c r="G28" s="87">
        <f>2*E27+D27+3*B27</f>
        <v>9</v>
      </c>
      <c r="H28" s="90">
        <f>(F28*G28)/1000000</f>
        <v>5.3999999999999998E-5</v>
      </c>
      <c r="I28" s="91">
        <f>I34/H28</f>
        <v>9259259.2592592593</v>
      </c>
      <c r="J28" s="92">
        <f>C27+10</f>
        <v>10</v>
      </c>
      <c r="K28" s="92">
        <f>D27+10</f>
        <v>10</v>
      </c>
    </row>
    <row r="29" spans="1:11" ht="13.2">
      <c r="A29" s="260"/>
      <c r="B29" s="89"/>
      <c r="C29" s="6"/>
      <c r="D29" s="6"/>
      <c r="E29" s="6"/>
      <c r="F29" s="87">
        <f>2*E27+C27+2*B27</f>
        <v>6</v>
      </c>
      <c r="G29" s="87">
        <f>2*E27+D27+3*B27</f>
        <v>9</v>
      </c>
      <c r="H29" s="90">
        <f>(F29*G29)/1000000</f>
        <v>5.3999999999999998E-5</v>
      </c>
      <c r="I29" s="91">
        <f>I34/H29</f>
        <v>9259259.2592592593</v>
      </c>
      <c r="J29" s="92">
        <f>C27+10</f>
        <v>10</v>
      </c>
      <c r="K29" s="92">
        <f>D27+10</f>
        <v>10</v>
      </c>
    </row>
    <row r="30" spans="1:11" ht="13.2">
      <c r="A30" s="260"/>
      <c r="B30" s="89"/>
      <c r="C30" s="6"/>
      <c r="D30" s="6"/>
      <c r="E30" s="6"/>
      <c r="F30" s="87">
        <f>2*E27+C27+2*B27</f>
        <v>6</v>
      </c>
      <c r="G30" s="87">
        <f>2*E27+D27+3*B27</f>
        <v>9</v>
      </c>
      <c r="H30" s="90">
        <f>(F30*G30)/1000000</f>
        <v>5.3999999999999998E-5</v>
      </c>
      <c r="I30" s="91">
        <f>I34/H30</f>
        <v>9259259.2592592593</v>
      </c>
      <c r="J30" s="92">
        <f>C27+10</f>
        <v>10</v>
      </c>
      <c r="K30" s="92">
        <f>D27+10</f>
        <v>10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VLOOKUP(Kalk!K12,$M$2:$P$9,3,0)/4</f>
        <v>175</v>
      </c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13"/>
      <c r="C33" s="114"/>
      <c r="D33" s="114"/>
      <c r="E33" s="111"/>
      <c r="F33" s="110"/>
      <c r="G33" s="110"/>
      <c r="H33" s="90"/>
      <c r="I33" s="264"/>
    </row>
    <row r="34" spans="1:11" ht="13.2">
      <c r="A34" s="260"/>
      <c r="B34" s="115"/>
      <c r="C34" s="114"/>
      <c r="D34" s="114"/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2*E39+C39+2*B39</f>
        <v>6</v>
      </c>
      <c r="G39" s="87">
        <f>2*E39+D39+3*B39</f>
        <v>9</v>
      </c>
      <c r="H39" s="90">
        <f>(F39*G39)/1000000</f>
        <v>5.3999999999999998E-5</v>
      </c>
      <c r="I39" s="91">
        <f>I46/H39</f>
        <v>9259259.2592592593</v>
      </c>
      <c r="J39" s="92">
        <f>C39+10</f>
        <v>10</v>
      </c>
      <c r="K39" s="92">
        <f>D39+10</f>
        <v>10</v>
      </c>
    </row>
    <row r="40" spans="1:11" ht="13.2">
      <c r="A40" s="260"/>
      <c r="B40" s="89"/>
      <c r="C40" s="6"/>
      <c r="D40" s="6"/>
      <c r="E40" s="6"/>
      <c r="F40" s="87">
        <f>2*E39+C39+2*B39</f>
        <v>6</v>
      </c>
      <c r="G40" s="87">
        <f>2*E39+D39+3*B39</f>
        <v>9</v>
      </c>
      <c r="H40" s="90">
        <f>(F40*G40)/1000000</f>
        <v>5.3999999999999998E-5</v>
      </c>
      <c r="I40" s="91">
        <f>I46/H40</f>
        <v>9259259.2592592593</v>
      </c>
      <c r="J40" s="92">
        <f>C39+10</f>
        <v>10</v>
      </c>
      <c r="K40" s="92">
        <f>D39+10</f>
        <v>10</v>
      </c>
    </row>
    <row r="41" spans="1:11" ht="13.2">
      <c r="A41" s="260"/>
      <c r="B41" s="89"/>
      <c r="C41" s="6"/>
      <c r="D41" s="6"/>
      <c r="E41" s="6"/>
      <c r="F41" s="87">
        <f>2*E39+C39+2*B39</f>
        <v>6</v>
      </c>
      <c r="G41" s="87">
        <f>2*E39+D39+3*B39</f>
        <v>9</v>
      </c>
      <c r="H41" s="90">
        <f>(F41*G41)/1000000</f>
        <v>5.3999999999999998E-5</v>
      </c>
      <c r="I41" s="91">
        <f>I46/H41</f>
        <v>9259259.2592592593</v>
      </c>
      <c r="J41" s="92">
        <f>C39+10</f>
        <v>10</v>
      </c>
      <c r="K41" s="92">
        <f>D39+10</f>
        <v>10</v>
      </c>
    </row>
    <row r="42" spans="1:11" ht="13.2">
      <c r="A42" s="260"/>
      <c r="B42" s="89"/>
      <c r="C42" s="6"/>
      <c r="D42" s="6"/>
      <c r="E42" s="6"/>
      <c r="F42" s="87">
        <f>2*E39+C39+2*B39</f>
        <v>6</v>
      </c>
      <c r="G42" s="87">
        <f>2*E39+D39+3*B39</f>
        <v>9</v>
      </c>
      <c r="H42" s="90">
        <f>(F42*G42)/1000000</f>
        <v>5.3999999999999998E-5</v>
      </c>
      <c r="I42" s="91">
        <f>I46/H42</f>
        <v>9259259.2592592593</v>
      </c>
      <c r="J42" s="92">
        <f>C39+10</f>
        <v>10</v>
      </c>
      <c r="K42" s="92">
        <f>D39+10</f>
        <v>10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</row>
    <row r="44" spans="1:11" ht="13.35" customHeight="1">
      <c r="A44" s="260"/>
      <c r="B44" s="118">
        <f>VLOOKUP(Kalk!K16,$M$2:$O$9,3,0)/4</f>
        <v>175</v>
      </c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13"/>
      <c r="C45" s="114"/>
      <c r="D45" s="114"/>
      <c r="E45" s="111"/>
      <c r="F45" s="110"/>
      <c r="G45" s="110"/>
      <c r="H45" s="90"/>
      <c r="I45" s="264"/>
    </row>
    <row r="46" spans="1:11" ht="13.2">
      <c r="A46" s="260"/>
      <c r="B46" s="115"/>
      <c r="C46" s="114"/>
      <c r="D46" s="114"/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2*E51+C51+2*B51</f>
        <v>6</v>
      </c>
      <c r="G51" s="87">
        <f>2*E51+D51+3*B51</f>
        <v>9</v>
      </c>
      <c r="H51" s="90">
        <f>(F51*G51)/1000000</f>
        <v>5.3999999999999998E-5</v>
      </c>
      <c r="I51" s="91">
        <f>I58/H51</f>
        <v>9259259.2592592593</v>
      </c>
      <c r="J51" s="92">
        <f>C51+10</f>
        <v>10</v>
      </c>
      <c r="K51" s="92">
        <f>D51+10</f>
        <v>10</v>
      </c>
    </row>
    <row r="52" spans="1:11" ht="13.2">
      <c r="A52" s="260"/>
      <c r="B52" s="89"/>
      <c r="C52" s="6"/>
      <c r="D52" s="6"/>
      <c r="E52" s="6"/>
      <c r="F52" s="87">
        <f>2*E51+C51+2*B51</f>
        <v>6</v>
      </c>
      <c r="G52" s="87">
        <f>2*E51+D51+3*B51</f>
        <v>9</v>
      </c>
      <c r="H52" s="90">
        <f>(F52*G52)/1000000</f>
        <v>5.3999999999999998E-5</v>
      </c>
      <c r="I52" s="91">
        <f>I58/H52</f>
        <v>9259259.2592592593</v>
      </c>
      <c r="J52" s="92">
        <f>C51+10</f>
        <v>10</v>
      </c>
      <c r="K52" s="92">
        <f>D51+10</f>
        <v>10</v>
      </c>
    </row>
    <row r="53" spans="1:11" ht="13.2">
      <c r="A53" s="260"/>
      <c r="B53" s="89"/>
      <c r="C53" s="6"/>
      <c r="D53" s="6"/>
      <c r="E53" s="6"/>
      <c r="F53" s="87">
        <f>2*E51+C51+2*B51</f>
        <v>6</v>
      </c>
      <c r="G53" s="87">
        <f>2*E51+D51+3*B51</f>
        <v>9</v>
      </c>
      <c r="H53" s="90">
        <f>(F53*G53)/1000000</f>
        <v>5.3999999999999998E-5</v>
      </c>
      <c r="I53" s="91">
        <f>I58/H53</f>
        <v>9259259.2592592593</v>
      </c>
      <c r="J53" s="92">
        <f>C51+10</f>
        <v>10</v>
      </c>
      <c r="K53" s="92">
        <f>D51+10</f>
        <v>10</v>
      </c>
    </row>
    <row r="54" spans="1:11" ht="13.2">
      <c r="A54" s="260"/>
      <c r="B54" s="89"/>
      <c r="C54" s="6"/>
      <c r="D54" s="6"/>
      <c r="E54" s="6"/>
      <c r="F54" s="87">
        <f>2*E51+C51+2*B51</f>
        <v>6</v>
      </c>
      <c r="G54" s="87">
        <f>2*E51+D51+3*B51</f>
        <v>9</v>
      </c>
      <c r="H54" s="90">
        <f>(F54*G54)/1000000</f>
        <v>5.3999999999999998E-5</v>
      </c>
      <c r="I54" s="91">
        <f>I58/H54</f>
        <v>9259259.2592592593</v>
      </c>
      <c r="J54" s="92">
        <f>C51+10</f>
        <v>10</v>
      </c>
      <c r="K54" s="92">
        <f>D51+10</f>
        <v>10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VLOOKUP(Kalk!K20,$M$2:$O$9,3,0)/4</f>
        <v>175</v>
      </c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13"/>
      <c r="C57" s="114"/>
      <c r="D57" s="114"/>
      <c r="E57" s="111"/>
      <c r="F57" s="110"/>
      <c r="G57" s="110"/>
      <c r="H57" s="90"/>
      <c r="I57" s="264"/>
    </row>
    <row r="58" spans="1:11" ht="13.2">
      <c r="A58" s="260"/>
      <c r="B58" s="115"/>
      <c r="C58" s="114"/>
      <c r="D58" s="114"/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2*E63+C63+2*B63</f>
        <v>6</v>
      </c>
      <c r="G63" s="87">
        <f>2*E63+D63+3*B63</f>
        <v>9</v>
      </c>
      <c r="H63" s="90">
        <f>(F63*G63)/1000000</f>
        <v>5.3999999999999998E-5</v>
      </c>
      <c r="I63" s="91">
        <f>I70/H63</f>
        <v>9259259.2592592593</v>
      </c>
      <c r="J63" s="92">
        <f>C63+10</f>
        <v>10</v>
      </c>
      <c r="K63" s="92">
        <f>D63+10</f>
        <v>10</v>
      </c>
    </row>
    <row r="64" spans="1:11" ht="13.2">
      <c r="A64" s="260"/>
      <c r="B64" s="89"/>
      <c r="C64" s="6"/>
      <c r="D64" s="6"/>
      <c r="E64" s="6"/>
      <c r="F64" s="87">
        <f>2*E63+C63+2*B63</f>
        <v>6</v>
      </c>
      <c r="G64" s="87">
        <f>2*E63+D63+3*B63</f>
        <v>9</v>
      </c>
      <c r="H64" s="90">
        <f>(F64*G64)/1000000</f>
        <v>5.3999999999999998E-5</v>
      </c>
      <c r="I64" s="91">
        <f>I70/H64</f>
        <v>9259259.2592592593</v>
      </c>
      <c r="J64" s="92">
        <f>C63+10</f>
        <v>10</v>
      </c>
      <c r="K64" s="92">
        <f>D63+10</f>
        <v>10</v>
      </c>
    </row>
    <row r="65" spans="1:11" ht="13.2">
      <c r="A65" s="260"/>
      <c r="B65" s="89"/>
      <c r="C65" s="6"/>
      <c r="D65" s="6"/>
      <c r="E65" s="6"/>
      <c r="F65" s="87">
        <f>2*E63+C63+2*B63</f>
        <v>6</v>
      </c>
      <c r="G65" s="87">
        <f>2*E63+D63+3*B63</f>
        <v>9</v>
      </c>
      <c r="H65" s="90">
        <f>(F65*G65)/1000000</f>
        <v>5.3999999999999998E-5</v>
      </c>
      <c r="I65" s="91">
        <f>I70/H65</f>
        <v>9259259.2592592593</v>
      </c>
      <c r="J65" s="92">
        <f>C63+10</f>
        <v>10</v>
      </c>
      <c r="K65" s="92">
        <f>D63+10</f>
        <v>10</v>
      </c>
    </row>
    <row r="66" spans="1:11" ht="13.2">
      <c r="A66" s="260"/>
      <c r="B66" s="89"/>
      <c r="C66" s="6"/>
      <c r="D66" s="6"/>
      <c r="E66" s="6"/>
      <c r="F66" s="87">
        <f>2*E63+C63+2*B63</f>
        <v>6</v>
      </c>
      <c r="G66" s="87">
        <f>2*E63+D63+3*B63</f>
        <v>9</v>
      </c>
      <c r="H66" s="90">
        <f>(F66*G66)/1000000</f>
        <v>5.3999999999999998E-5</v>
      </c>
      <c r="I66" s="91">
        <f>I70/H66</f>
        <v>9259259.2592592593</v>
      </c>
      <c r="J66" s="92">
        <f>C63+10</f>
        <v>10</v>
      </c>
      <c r="K66" s="92">
        <f>D63+10</f>
        <v>10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VLOOKUP(Kalk!K24,$M$2:$O$9,3,0)/4</f>
        <v>175</v>
      </c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13"/>
      <c r="C69" s="114"/>
      <c r="D69" s="114"/>
      <c r="E69" s="111"/>
      <c r="F69" s="110"/>
      <c r="G69" s="110"/>
      <c r="H69" s="90"/>
      <c r="I69" s="264"/>
    </row>
    <row r="70" spans="1:11" ht="13.2">
      <c r="A70" s="260"/>
      <c r="B70" s="115"/>
      <c r="C70" s="114"/>
      <c r="D70" s="114"/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2*E75+C75+2*B75</f>
        <v>6</v>
      </c>
      <c r="G75" s="87">
        <f>2*E75+D75+3*B75</f>
        <v>9</v>
      </c>
      <c r="H75" s="90">
        <f>(F75*G75)/1000000</f>
        <v>5.3999999999999998E-5</v>
      </c>
      <c r="I75" s="91">
        <f>I82/H75</f>
        <v>9259259.2592592593</v>
      </c>
      <c r="J75" s="92">
        <f>C75+10</f>
        <v>10</v>
      </c>
      <c r="K75" s="92">
        <f>D75+10</f>
        <v>10</v>
      </c>
    </row>
    <row r="76" spans="1:11" ht="13.2">
      <c r="A76" s="260"/>
      <c r="B76" s="89"/>
      <c r="C76" s="6"/>
      <c r="D76" s="6"/>
      <c r="E76" s="6"/>
      <c r="F76" s="87">
        <f>2*E75+C75+2*B75</f>
        <v>6</v>
      </c>
      <c r="G76" s="87">
        <f>2*E75+D75+3*B75</f>
        <v>9</v>
      </c>
      <c r="H76" s="90">
        <f>(F76*G76)/1000000</f>
        <v>5.3999999999999998E-5</v>
      </c>
      <c r="I76" s="91">
        <f>I82/H76</f>
        <v>9259259.2592592593</v>
      </c>
      <c r="J76" s="92">
        <f>C75+10</f>
        <v>10</v>
      </c>
      <c r="K76" s="92">
        <f>D75+10</f>
        <v>10</v>
      </c>
    </row>
    <row r="77" spans="1:11" ht="13.2">
      <c r="A77" s="260"/>
      <c r="B77" s="89"/>
      <c r="C77" s="6"/>
      <c r="D77" s="6"/>
      <c r="E77" s="6"/>
      <c r="F77" s="87">
        <f>2*E75+C75+2*B75</f>
        <v>6</v>
      </c>
      <c r="G77" s="87">
        <f>2*E75+D75+3*B75</f>
        <v>9</v>
      </c>
      <c r="H77" s="90">
        <f>(F77*G77)/1000000</f>
        <v>5.3999999999999998E-5</v>
      </c>
      <c r="I77" s="91">
        <f>I82/H77</f>
        <v>9259259.2592592593</v>
      </c>
      <c r="J77" s="92">
        <f>C75+10</f>
        <v>10</v>
      </c>
      <c r="K77" s="92">
        <f>D75+10</f>
        <v>10</v>
      </c>
    </row>
    <row r="78" spans="1:11" ht="13.2">
      <c r="A78" s="260"/>
      <c r="B78" s="89"/>
      <c r="C78" s="6"/>
      <c r="D78" s="6"/>
      <c r="E78" s="6"/>
      <c r="F78" s="87">
        <f>2*E75+C75+2*B75</f>
        <v>6</v>
      </c>
      <c r="G78" s="87">
        <f>2*E75+D75+3*B75</f>
        <v>9</v>
      </c>
      <c r="H78" s="90">
        <f>(F78*G78)/1000000</f>
        <v>5.3999999999999998E-5</v>
      </c>
      <c r="I78" s="91">
        <f>I82/H78</f>
        <v>9259259.2592592593</v>
      </c>
      <c r="J78" s="92">
        <f>C75+10</f>
        <v>10</v>
      </c>
      <c r="K78" s="92">
        <f>D75+10</f>
        <v>10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VLOOKUP(Kalk!K28,$M$2:$O$9,3,0)/4</f>
        <v>175</v>
      </c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13"/>
      <c r="C81" s="114"/>
      <c r="D81" s="114"/>
      <c r="E81" s="111"/>
      <c r="F81" s="110"/>
      <c r="G81" s="110"/>
      <c r="H81" s="90"/>
      <c r="I81" s="264"/>
    </row>
    <row r="82" spans="1:11" ht="13.2">
      <c r="A82" s="260"/>
      <c r="B82" s="115"/>
      <c r="C82" s="114"/>
      <c r="D82" s="114"/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2*E87+C87+2*B87</f>
        <v>6</v>
      </c>
      <c r="G87" s="87">
        <f>2*E87+D87+3*B87</f>
        <v>9</v>
      </c>
      <c r="H87" s="90">
        <f>(F87*G87)/1000000</f>
        <v>5.3999999999999998E-5</v>
      </c>
      <c r="I87" s="91">
        <f>I94/H87</f>
        <v>9259259.2592592593</v>
      </c>
      <c r="J87" s="92">
        <f>C87+10</f>
        <v>10</v>
      </c>
      <c r="K87" s="92">
        <f>D87+10</f>
        <v>10</v>
      </c>
    </row>
    <row r="88" spans="1:11" ht="13.2">
      <c r="A88" s="260"/>
      <c r="B88" s="89"/>
      <c r="C88" s="6"/>
      <c r="D88" s="6"/>
      <c r="E88" s="6"/>
      <c r="F88" s="87">
        <f>2*E87+C87+2*B87</f>
        <v>6</v>
      </c>
      <c r="G88" s="87">
        <f>2*E87+D87+3*B87</f>
        <v>9</v>
      </c>
      <c r="H88" s="90">
        <f>(F88*G88)/1000000</f>
        <v>5.3999999999999998E-5</v>
      </c>
      <c r="I88" s="91">
        <f>I94/H88</f>
        <v>9259259.2592592593</v>
      </c>
      <c r="J88" s="92">
        <f>C87+10</f>
        <v>10</v>
      </c>
      <c r="K88" s="92">
        <f>D87+10</f>
        <v>10</v>
      </c>
    </row>
    <row r="89" spans="1:11" ht="13.2">
      <c r="A89" s="260"/>
      <c r="B89" s="89"/>
      <c r="C89" s="6"/>
      <c r="D89" s="6"/>
      <c r="E89" s="6"/>
      <c r="F89" s="87">
        <f>2*E87+C87+2*B87</f>
        <v>6</v>
      </c>
      <c r="G89" s="87">
        <f>2*E87+D87+3*B87</f>
        <v>9</v>
      </c>
      <c r="H89" s="90">
        <f>(F89*G89)/1000000</f>
        <v>5.3999999999999998E-5</v>
      </c>
      <c r="I89" s="91">
        <f>I94/H89</f>
        <v>9259259.2592592593</v>
      </c>
      <c r="J89" s="92">
        <f>C87+10</f>
        <v>10</v>
      </c>
      <c r="K89" s="92">
        <f>D87+10</f>
        <v>10</v>
      </c>
    </row>
    <row r="90" spans="1:11" ht="13.2">
      <c r="A90" s="260"/>
      <c r="B90" s="89"/>
      <c r="C90" s="6"/>
      <c r="D90" s="6"/>
      <c r="E90" s="6"/>
      <c r="F90" s="87">
        <f>2*E87+C87+2*B87</f>
        <v>6</v>
      </c>
      <c r="G90" s="87">
        <f>2*E87+D87+3*B87</f>
        <v>9</v>
      </c>
      <c r="H90" s="90">
        <f>(F90*G90)/1000000</f>
        <v>5.3999999999999998E-5</v>
      </c>
      <c r="I90" s="91">
        <f>I94/H90</f>
        <v>9259259.2592592593</v>
      </c>
      <c r="J90" s="92">
        <f>C87+10</f>
        <v>10</v>
      </c>
      <c r="K90" s="92">
        <f>D87+10</f>
        <v>10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VLOOKUP(Kalk!K32,$M$2:$O$9,3,0)/4</f>
        <v>175</v>
      </c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13"/>
      <c r="C93" s="114"/>
      <c r="D93" s="114"/>
      <c r="E93" s="111"/>
      <c r="F93" s="110"/>
      <c r="G93" s="110"/>
      <c r="H93" s="90"/>
      <c r="I93" s="264"/>
    </row>
    <row r="94" spans="1:11" ht="13.2">
      <c r="A94" s="260"/>
      <c r="B94" s="115"/>
      <c r="C94" s="114"/>
      <c r="D94" s="114"/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2*E99+C99+2*B99</f>
        <v>6</v>
      </c>
      <c r="G99" s="87">
        <f>2*E99+D99+3*B99</f>
        <v>9</v>
      </c>
      <c r="H99" s="90">
        <f>(F99*G99)/1000000</f>
        <v>5.3999999999999998E-5</v>
      </c>
      <c r="I99" s="91">
        <f>I106/H99</f>
        <v>9259259.2592592593</v>
      </c>
      <c r="J99" s="92">
        <f>C99+10</f>
        <v>10</v>
      </c>
      <c r="K99" s="92">
        <f>D99+10</f>
        <v>10</v>
      </c>
    </row>
    <row r="100" spans="1:11" ht="13.2">
      <c r="A100" s="260"/>
      <c r="B100" s="89"/>
      <c r="C100" s="6"/>
      <c r="D100" s="6"/>
      <c r="E100" s="6"/>
      <c r="F100" s="87">
        <f>2*E99+C99+2*B99</f>
        <v>6</v>
      </c>
      <c r="G100" s="87">
        <f>2*E99+D99+3*B99</f>
        <v>9</v>
      </c>
      <c r="H100" s="90">
        <f>(F100*G100)/1000000</f>
        <v>5.3999999999999998E-5</v>
      </c>
      <c r="I100" s="91">
        <f>I106/H100</f>
        <v>9259259.2592592593</v>
      </c>
      <c r="J100" s="92">
        <f>C99+10</f>
        <v>10</v>
      </c>
      <c r="K100" s="92">
        <f>D99+10</f>
        <v>10</v>
      </c>
    </row>
    <row r="101" spans="1:11" ht="13.2">
      <c r="A101" s="260"/>
      <c r="B101" s="89"/>
      <c r="C101" s="6"/>
      <c r="D101" s="6"/>
      <c r="E101" s="6"/>
      <c r="F101" s="87">
        <f>2*E99+C99+2*B99</f>
        <v>6</v>
      </c>
      <c r="G101" s="87">
        <f>2*E99+D99+3*B99</f>
        <v>9</v>
      </c>
      <c r="H101" s="90">
        <f>(F101*G101)/1000000</f>
        <v>5.3999999999999998E-5</v>
      </c>
      <c r="I101" s="91">
        <f>I106/H101</f>
        <v>9259259.2592592593</v>
      </c>
      <c r="J101" s="92">
        <f>C99+10</f>
        <v>10</v>
      </c>
      <c r="K101" s="92">
        <f>D99+10</f>
        <v>10</v>
      </c>
    </row>
    <row r="102" spans="1:11" ht="13.2">
      <c r="A102" s="260"/>
      <c r="B102" s="89"/>
      <c r="C102" s="6"/>
      <c r="D102" s="6"/>
      <c r="E102" s="6"/>
      <c r="F102" s="87">
        <f>2*E99+C99+2*B99</f>
        <v>6</v>
      </c>
      <c r="G102" s="87">
        <f>2*E99+D99+3*B99</f>
        <v>9</v>
      </c>
      <c r="H102" s="90">
        <f>(F102*G102)/1000000</f>
        <v>5.3999999999999998E-5</v>
      </c>
      <c r="I102" s="91">
        <f>I106/H102</f>
        <v>9259259.2592592593</v>
      </c>
      <c r="J102" s="92">
        <f>C99+10</f>
        <v>10</v>
      </c>
      <c r="K102" s="92">
        <f>D99+10</f>
        <v>10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VLOOKUP(Kalk!K36,$M$2:$O$9,3,0)/4</f>
        <v>175</v>
      </c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13"/>
      <c r="C105" s="114"/>
      <c r="D105" s="114"/>
      <c r="E105" s="111"/>
      <c r="F105" s="110"/>
      <c r="G105" s="110"/>
      <c r="H105" s="90"/>
      <c r="I105" s="264"/>
    </row>
    <row r="106" spans="1:11" ht="13.2">
      <c r="A106" s="260"/>
      <c r="B106" s="115"/>
      <c r="C106" s="114"/>
      <c r="D106" s="114"/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2*E111+C111+2*B111</f>
        <v>6</v>
      </c>
      <c r="G111" s="87">
        <f>2*E111+D111+3*B111</f>
        <v>9</v>
      </c>
      <c r="H111" s="90">
        <f>(F111*G111)/1000000</f>
        <v>5.3999999999999998E-5</v>
      </c>
      <c r="I111" s="91">
        <f>I118/H111</f>
        <v>9259259.2592592593</v>
      </c>
      <c r="J111" s="92">
        <f>C111+10</f>
        <v>10</v>
      </c>
      <c r="K111" s="92">
        <f>D111+10</f>
        <v>10</v>
      </c>
    </row>
    <row r="112" spans="1:11" ht="13.2">
      <c r="A112" s="260"/>
      <c r="B112" s="89"/>
      <c r="C112" s="6"/>
      <c r="D112" s="6"/>
      <c r="E112" s="6"/>
      <c r="F112" s="87">
        <f>2*E111+C111+2*B111</f>
        <v>6</v>
      </c>
      <c r="G112" s="87">
        <f>2*E111+D111+3*B111</f>
        <v>9</v>
      </c>
      <c r="H112" s="90">
        <f>(F112*G112)/1000000</f>
        <v>5.3999999999999998E-5</v>
      </c>
      <c r="I112" s="91">
        <f>I118/H112</f>
        <v>9259259.2592592593</v>
      </c>
      <c r="J112" s="92">
        <f>C111+10</f>
        <v>10</v>
      </c>
      <c r="K112" s="92">
        <f>D111+10</f>
        <v>10</v>
      </c>
    </row>
    <row r="113" spans="1:11" ht="13.2">
      <c r="A113" s="260"/>
      <c r="B113" s="89"/>
      <c r="C113" s="6"/>
      <c r="D113" s="6"/>
      <c r="E113" s="6"/>
      <c r="F113" s="87">
        <f>2*E111+C111+2*B111</f>
        <v>6</v>
      </c>
      <c r="G113" s="87">
        <f>2*E111+D111+3*B111</f>
        <v>9</v>
      </c>
      <c r="H113" s="90">
        <f>(F113*G113)/1000000</f>
        <v>5.3999999999999998E-5</v>
      </c>
      <c r="I113" s="91">
        <f>I118/H113</f>
        <v>9259259.2592592593</v>
      </c>
      <c r="J113" s="92">
        <f>C111+10</f>
        <v>10</v>
      </c>
      <c r="K113" s="92">
        <f>D111+10</f>
        <v>10</v>
      </c>
    </row>
    <row r="114" spans="1:11" ht="13.2">
      <c r="A114" s="260"/>
      <c r="B114" s="89"/>
      <c r="C114" s="6"/>
      <c r="D114" s="6"/>
      <c r="E114" s="6"/>
      <c r="F114" s="87">
        <f>2*E111+C111+2*B111</f>
        <v>6</v>
      </c>
      <c r="G114" s="87">
        <f>2*E111+D111+3*B111</f>
        <v>9</v>
      </c>
      <c r="H114" s="90">
        <f>(F114*G114)/1000000</f>
        <v>5.3999999999999998E-5</v>
      </c>
      <c r="I114" s="91">
        <f>I118/H114</f>
        <v>9259259.2592592593</v>
      </c>
      <c r="J114" s="92">
        <f>C111+10</f>
        <v>10</v>
      </c>
      <c r="K114" s="92">
        <f>D111+10</f>
        <v>10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VLOOKUP(Kalk!K40,$M$2:$O$9,3,0)/4</f>
        <v>175</v>
      </c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13"/>
      <c r="C117" s="114"/>
      <c r="D117" s="114"/>
      <c r="E117" s="111"/>
      <c r="F117" s="110"/>
      <c r="G117" s="110"/>
      <c r="H117" s="90"/>
      <c r="I117" s="264"/>
    </row>
    <row r="118" spans="1:11" ht="13.2">
      <c r="A118" s="260"/>
      <c r="B118" s="115"/>
      <c r="C118" s="114"/>
      <c r="D118" s="114"/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M1:N1"/>
    <mergeCell ref="A2:A12"/>
    <mergeCell ref="F2:G2"/>
    <mergeCell ref="J2:K2"/>
    <mergeCell ref="I8:I9"/>
    <mergeCell ref="A14:A24"/>
    <mergeCell ref="F14:G14"/>
    <mergeCell ref="J14:K14"/>
    <mergeCell ref="I20:I21"/>
    <mergeCell ref="A26:A36"/>
    <mergeCell ref="F26:G26"/>
    <mergeCell ref="J26:K26"/>
    <mergeCell ref="I32:I33"/>
    <mergeCell ref="A38:A48"/>
    <mergeCell ref="F38:G38"/>
    <mergeCell ref="J38:K38"/>
    <mergeCell ref="I44:I45"/>
    <mergeCell ref="A50:A60"/>
    <mergeCell ref="F50:G50"/>
    <mergeCell ref="J50:K50"/>
    <mergeCell ref="I56:I57"/>
    <mergeCell ref="A62:A72"/>
    <mergeCell ref="F62:G62"/>
    <mergeCell ref="J62:K62"/>
    <mergeCell ref="I68:I69"/>
    <mergeCell ref="A74:A84"/>
    <mergeCell ref="F74:G74"/>
    <mergeCell ref="J74:K74"/>
    <mergeCell ref="I80:I81"/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C000"/>
    <pageSetUpPr fitToPage="1"/>
  </sheetPr>
  <dimension ref="A1:P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6" ht="13.2">
      <c r="M1" s="266" t="s">
        <v>73</v>
      </c>
      <c r="N1" s="266"/>
      <c r="O1" s="116" t="s">
        <v>83</v>
      </c>
      <c r="P1" s="108" t="s">
        <v>84</v>
      </c>
    </row>
    <row r="2" spans="1:16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17">
        <v>1000</v>
      </c>
      <c r="P2" s="88">
        <v>6</v>
      </c>
    </row>
    <row r="3" spans="1:16" ht="13.2">
      <c r="A3" s="260"/>
      <c r="B3" s="118">
        <f>VLOOKUP(Kalk!K4,$M$2:$N$8,2,0)</f>
        <v>7</v>
      </c>
      <c r="C3" s="85">
        <f>Kalk!C4</f>
        <v>0</v>
      </c>
      <c r="D3" s="85">
        <f>Kalk!E4</f>
        <v>0</v>
      </c>
      <c r="E3" s="85">
        <f>Kalk!G4</f>
        <v>0</v>
      </c>
      <c r="F3" s="87">
        <f>(C3+(2*E3)+10)</f>
        <v>10</v>
      </c>
      <c r="G3" s="87">
        <f>SUM(C9:E9)</f>
        <v>15</v>
      </c>
      <c r="H3" s="90">
        <f>(F3*G3)/1000000</f>
        <v>1.4999999999999999E-4</v>
      </c>
      <c r="I3" s="91">
        <f>I10/H3</f>
        <v>3333333.3333333335</v>
      </c>
      <c r="J3" s="92">
        <f t="shared" ref="J3:K6" si="0">F3</f>
        <v>10</v>
      </c>
      <c r="K3" s="92">
        <f t="shared" si="0"/>
        <v>15</v>
      </c>
      <c r="M3" s="109" t="s">
        <v>77</v>
      </c>
      <c r="N3" s="110">
        <v>3</v>
      </c>
      <c r="O3" s="117">
        <v>700</v>
      </c>
      <c r="P3" s="110">
        <v>9</v>
      </c>
    </row>
    <row r="4" spans="1:16" ht="13.2">
      <c r="A4" s="260"/>
      <c r="B4" s="89"/>
      <c r="C4" s="6"/>
      <c r="D4" s="6"/>
      <c r="E4" s="6"/>
      <c r="F4" s="87">
        <f>(C3+(2*E3)+14)</f>
        <v>14</v>
      </c>
      <c r="G4" s="87">
        <f>SUM(C10:E10)</f>
        <v>20</v>
      </c>
      <c r="H4" s="90">
        <f>(F4*G4)/1000000</f>
        <v>2.7999999999999998E-4</v>
      </c>
      <c r="I4" s="91">
        <f>I10/H4</f>
        <v>1785714.2857142859</v>
      </c>
      <c r="J4" s="92">
        <f t="shared" si="0"/>
        <v>14</v>
      </c>
      <c r="K4" s="92">
        <f t="shared" si="0"/>
        <v>20</v>
      </c>
      <c r="M4" s="111" t="s">
        <v>78</v>
      </c>
      <c r="N4" s="112">
        <v>4</v>
      </c>
      <c r="O4" s="117">
        <v>500</v>
      </c>
      <c r="P4" s="112">
        <v>12</v>
      </c>
    </row>
    <row r="5" spans="1:16" ht="13.2">
      <c r="A5" s="260"/>
      <c r="B5" s="89"/>
      <c r="C5" s="6"/>
      <c r="D5" s="6"/>
      <c r="E5" s="6"/>
      <c r="F5" s="87">
        <f>(C3+(2*E3)+20)</f>
        <v>20</v>
      </c>
      <c r="G5" s="87">
        <f>SUM(C11:E11)</f>
        <v>25</v>
      </c>
      <c r="H5" s="90">
        <f>(F5*G5)/1000000</f>
        <v>5.0000000000000001E-4</v>
      </c>
      <c r="I5" s="91">
        <f>I10/H5</f>
        <v>1000000</v>
      </c>
      <c r="J5" s="92">
        <f t="shared" si="0"/>
        <v>20</v>
      </c>
      <c r="K5" s="92">
        <f t="shared" si="0"/>
        <v>25</v>
      </c>
      <c r="M5" s="113" t="s">
        <v>79</v>
      </c>
      <c r="N5" s="114">
        <v>5</v>
      </c>
      <c r="O5" s="117">
        <v>420</v>
      </c>
      <c r="P5" s="114">
        <v>15</v>
      </c>
    </row>
    <row r="6" spans="1:16" ht="13.2">
      <c r="A6" s="260"/>
      <c r="B6" s="89"/>
      <c r="C6" s="6"/>
      <c r="D6" s="6"/>
      <c r="E6" s="6"/>
      <c r="F6" s="87">
        <f>(C3+(2*E3)+25)</f>
        <v>25</v>
      </c>
      <c r="G6" s="87">
        <f>SUM(C12:E12)</f>
        <v>34</v>
      </c>
      <c r="H6" s="90">
        <f>(F6*G6)/1000000</f>
        <v>8.4999999999999995E-4</v>
      </c>
      <c r="I6" s="91">
        <f>I10/H6</f>
        <v>588235.29411764711</v>
      </c>
      <c r="J6" s="92">
        <f t="shared" si="0"/>
        <v>25</v>
      </c>
      <c r="K6" s="92">
        <f t="shared" si="0"/>
        <v>34</v>
      </c>
      <c r="M6" s="115" t="s">
        <v>80</v>
      </c>
      <c r="N6" s="114">
        <v>7</v>
      </c>
      <c r="O6" s="117">
        <v>300</v>
      </c>
      <c r="P6" s="114">
        <v>21</v>
      </c>
    </row>
    <row r="7" spans="1:16" ht="13.2">
      <c r="A7" s="260"/>
      <c r="B7" s="116" t="s">
        <v>85</v>
      </c>
      <c r="C7" s="110"/>
      <c r="D7" s="117"/>
      <c r="E7" s="119"/>
      <c r="F7" s="110"/>
      <c r="G7" s="110"/>
      <c r="M7" s="115" t="s">
        <v>86</v>
      </c>
      <c r="N7" s="114">
        <v>13</v>
      </c>
      <c r="O7" s="117">
        <v>160</v>
      </c>
      <c r="P7" s="114">
        <v>39</v>
      </c>
    </row>
    <row r="8" spans="1:16" ht="13.35" customHeight="1">
      <c r="A8" s="260"/>
      <c r="B8" s="118">
        <f>VLOOKUP(Kalk!K4,$M$2:$P$9,3,0)</f>
        <v>300</v>
      </c>
      <c r="C8" s="263" t="s">
        <v>71</v>
      </c>
      <c r="D8" s="263"/>
      <c r="E8" s="263"/>
      <c r="F8" s="121"/>
      <c r="G8" s="121"/>
      <c r="H8" s="87"/>
      <c r="I8" s="264" t="s">
        <v>63</v>
      </c>
    </row>
    <row r="9" spans="1:16" ht="13.2">
      <c r="A9" s="260"/>
      <c r="B9" s="113"/>
      <c r="C9" s="124">
        <f>E3+3</f>
        <v>3</v>
      </c>
      <c r="D9" s="124">
        <f>D3+9</f>
        <v>9</v>
      </c>
      <c r="E9" s="124">
        <f>E3+3</f>
        <v>3</v>
      </c>
      <c r="F9" s="110"/>
      <c r="G9" s="110"/>
      <c r="H9" s="90"/>
      <c r="I9" s="264"/>
    </row>
    <row r="10" spans="1:16" ht="13.2">
      <c r="A10" s="260"/>
      <c r="B10" s="115"/>
      <c r="C10" s="124">
        <f>E3+4</f>
        <v>4</v>
      </c>
      <c r="D10" s="124">
        <f>D3+12</f>
        <v>12</v>
      </c>
      <c r="E10" s="124">
        <f>E3+4</f>
        <v>4</v>
      </c>
      <c r="F10" s="110"/>
      <c r="G10" s="110"/>
      <c r="H10" s="90"/>
      <c r="I10" s="99">
        <v>500</v>
      </c>
    </row>
    <row r="11" spans="1:16" ht="13.2">
      <c r="A11" s="260"/>
      <c r="C11" s="124">
        <f>E3+5</f>
        <v>5</v>
      </c>
      <c r="D11" s="124">
        <f>D3+15</f>
        <v>15</v>
      </c>
      <c r="E11" s="124">
        <f>E3+5</f>
        <v>5</v>
      </c>
    </row>
    <row r="12" spans="1:16" ht="13.2">
      <c r="A12" s="260"/>
      <c r="C12" s="124">
        <f>E3+7</f>
        <v>7</v>
      </c>
      <c r="D12" s="124">
        <f>D3+20</f>
        <v>20</v>
      </c>
      <c r="E12" s="124">
        <f>E3+7</f>
        <v>7</v>
      </c>
    </row>
    <row r="13" spans="1:16" ht="13.2"/>
    <row r="14" spans="1:16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6" ht="13.2">
      <c r="A15" s="260"/>
      <c r="B15" s="118">
        <f>VLOOKUP(Kalk!K8,$M$2:$N$8,2,0)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(C15+(2*E15)+10)</f>
        <v>10</v>
      </c>
      <c r="G15" s="87">
        <f>SUM(C21:E21)</f>
        <v>15</v>
      </c>
      <c r="H15" s="90">
        <f>(F15*G15)/1000000</f>
        <v>1.4999999999999999E-4</v>
      </c>
      <c r="I15" s="91">
        <f>I22/H15</f>
        <v>3333333.3333333335</v>
      </c>
      <c r="J15" s="92">
        <f t="shared" ref="J15:K18" si="1">F15</f>
        <v>10</v>
      </c>
      <c r="K15" s="92">
        <f t="shared" si="1"/>
        <v>15</v>
      </c>
    </row>
    <row r="16" spans="1:16" ht="13.2">
      <c r="A16" s="260"/>
      <c r="B16" s="89"/>
      <c r="C16" s="6"/>
      <c r="D16" s="6"/>
      <c r="E16" s="6"/>
      <c r="F16" s="87">
        <f>(C15+(2*E15)+14)</f>
        <v>14</v>
      </c>
      <c r="G16" s="87">
        <f>SUM(C22:E22)</f>
        <v>20</v>
      </c>
      <c r="H16" s="90">
        <f>(F16*G16)/1000000</f>
        <v>2.7999999999999998E-4</v>
      </c>
      <c r="I16" s="91">
        <f>I22/H16</f>
        <v>1785714.2857142859</v>
      </c>
      <c r="J16" s="92">
        <f t="shared" si="1"/>
        <v>14</v>
      </c>
      <c r="K16" s="92">
        <f t="shared" si="1"/>
        <v>20</v>
      </c>
    </row>
    <row r="17" spans="1:11" ht="13.2">
      <c r="A17" s="260"/>
      <c r="B17" s="89"/>
      <c r="C17" s="6"/>
      <c r="D17" s="6"/>
      <c r="E17" s="6"/>
      <c r="F17" s="87">
        <f>(C15+(2*E15)+20)</f>
        <v>20</v>
      </c>
      <c r="G17" s="87">
        <f>SUM(C23:E23)</f>
        <v>25</v>
      </c>
      <c r="H17" s="90">
        <f>(F17*G17)/1000000</f>
        <v>5.0000000000000001E-4</v>
      </c>
      <c r="I17" s="91">
        <f>I22/H17</f>
        <v>1000000</v>
      </c>
      <c r="J17" s="92">
        <f t="shared" si="1"/>
        <v>20</v>
      </c>
      <c r="K17" s="92">
        <f t="shared" si="1"/>
        <v>25</v>
      </c>
    </row>
    <row r="18" spans="1:11" ht="13.2">
      <c r="A18" s="260"/>
      <c r="B18" s="89"/>
      <c r="C18" s="6"/>
      <c r="D18" s="6"/>
      <c r="E18" s="6"/>
      <c r="F18" s="87">
        <f>(C15+(2*E15)+25)</f>
        <v>25</v>
      </c>
      <c r="G18" s="87">
        <f>SUM(C24:E24)</f>
        <v>34</v>
      </c>
      <c r="H18" s="90">
        <f>(F18*G18)/1000000</f>
        <v>8.4999999999999995E-4</v>
      </c>
      <c r="I18" s="91">
        <f>I22/H18</f>
        <v>588235.29411764711</v>
      </c>
      <c r="J18" s="92">
        <f t="shared" si="1"/>
        <v>25</v>
      </c>
      <c r="K18" s="92">
        <f t="shared" si="1"/>
        <v>34</v>
      </c>
    </row>
    <row r="19" spans="1:11" ht="13.2">
      <c r="A19" s="260"/>
      <c r="B19" s="116" t="s">
        <v>85</v>
      </c>
      <c r="C19" s="110"/>
      <c r="D19" s="117"/>
      <c r="E19" s="119"/>
      <c r="F19" s="110"/>
      <c r="G19" s="110"/>
    </row>
    <row r="20" spans="1:11" ht="13.35" customHeight="1">
      <c r="A20" s="260"/>
      <c r="B20" s="118">
        <f>VLOOKUP(Kalk!K8,$M$2:$P$9,3,0)</f>
        <v>300</v>
      </c>
      <c r="C20" s="263" t="s">
        <v>71</v>
      </c>
      <c r="D20" s="263"/>
      <c r="E20" s="263"/>
      <c r="F20" s="121"/>
      <c r="G20" s="121"/>
      <c r="H20" s="87"/>
      <c r="I20" s="264" t="s">
        <v>63</v>
      </c>
    </row>
    <row r="21" spans="1:11" ht="13.2">
      <c r="A21" s="260"/>
      <c r="B21" s="113"/>
      <c r="C21" s="124">
        <f>E15+3</f>
        <v>3</v>
      </c>
      <c r="D21" s="124">
        <f>D15+9</f>
        <v>9</v>
      </c>
      <c r="E21" s="124">
        <f>E15+3</f>
        <v>3</v>
      </c>
      <c r="F21" s="110"/>
      <c r="G21" s="110"/>
      <c r="H21" s="90"/>
      <c r="I21" s="264"/>
    </row>
    <row r="22" spans="1:11" ht="13.2">
      <c r="A22" s="260"/>
      <c r="B22" s="115"/>
      <c r="C22" s="124">
        <f>E15+4</f>
        <v>4</v>
      </c>
      <c r="D22" s="124">
        <f>D15+12</f>
        <v>12</v>
      </c>
      <c r="E22" s="124">
        <f>E15+4</f>
        <v>4</v>
      </c>
      <c r="F22" s="110"/>
      <c r="G22" s="110"/>
      <c r="H22" s="90"/>
      <c r="I22" s="99">
        <v>500</v>
      </c>
    </row>
    <row r="23" spans="1:11" ht="13.2">
      <c r="A23" s="260"/>
      <c r="C23" s="124">
        <f>E15+5</f>
        <v>5</v>
      </c>
      <c r="D23" s="124">
        <f>D15+15</f>
        <v>15</v>
      </c>
      <c r="E23" s="124">
        <f>E15+5</f>
        <v>5</v>
      </c>
    </row>
    <row r="24" spans="1:11" ht="13.2">
      <c r="A24" s="260"/>
      <c r="C24" s="124">
        <f>E15+7</f>
        <v>7</v>
      </c>
      <c r="D24" s="124">
        <f>D15+20</f>
        <v>20</v>
      </c>
      <c r="E24" s="124">
        <f>E15+7</f>
        <v>7</v>
      </c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(C27+(2*E27)+10)</f>
        <v>10</v>
      </c>
      <c r="G27" s="87">
        <f>SUM(C33:E33)</f>
        <v>15</v>
      </c>
      <c r="H27" s="90">
        <f>(F27*G27)/1000000</f>
        <v>1.4999999999999999E-4</v>
      </c>
      <c r="I27" s="91">
        <f>I34/H27</f>
        <v>3333333.3333333335</v>
      </c>
      <c r="J27" s="92">
        <f t="shared" ref="J27:K30" si="2">F27</f>
        <v>10</v>
      </c>
      <c r="K27" s="92">
        <f t="shared" si="2"/>
        <v>15</v>
      </c>
    </row>
    <row r="28" spans="1:11" ht="13.2">
      <c r="A28" s="260"/>
      <c r="B28" s="89"/>
      <c r="C28" s="6"/>
      <c r="D28" s="6"/>
      <c r="E28" s="6"/>
      <c r="F28" s="87">
        <f>(C27+(2*E27)+14)</f>
        <v>14</v>
      </c>
      <c r="G28" s="87">
        <f>SUM(C34:E34)</f>
        <v>20</v>
      </c>
      <c r="H28" s="90">
        <f>(F28*G28)/1000000</f>
        <v>2.7999999999999998E-4</v>
      </c>
      <c r="I28" s="91">
        <f>I34/H28</f>
        <v>1785714.2857142859</v>
      </c>
      <c r="J28" s="92">
        <f t="shared" si="2"/>
        <v>14</v>
      </c>
      <c r="K28" s="92">
        <f t="shared" si="2"/>
        <v>20</v>
      </c>
    </row>
    <row r="29" spans="1:11" ht="13.2">
      <c r="A29" s="260"/>
      <c r="B29" s="89"/>
      <c r="C29" s="6"/>
      <c r="D29" s="6"/>
      <c r="E29" s="6"/>
      <c r="F29" s="87">
        <f>(C27+(2*E27)+20)</f>
        <v>20</v>
      </c>
      <c r="G29" s="87">
        <f>SUM(C35:E35)</f>
        <v>25</v>
      </c>
      <c r="H29" s="90">
        <f>(F29*G29)/1000000</f>
        <v>5.0000000000000001E-4</v>
      </c>
      <c r="I29" s="91">
        <f>I34/H29</f>
        <v>1000000</v>
      </c>
      <c r="J29" s="92">
        <f t="shared" si="2"/>
        <v>20</v>
      </c>
      <c r="K29" s="92">
        <f t="shared" si="2"/>
        <v>25</v>
      </c>
    </row>
    <row r="30" spans="1:11" ht="13.2">
      <c r="A30" s="260"/>
      <c r="B30" s="89"/>
      <c r="C30" s="6"/>
      <c r="D30" s="6"/>
      <c r="E30" s="6"/>
      <c r="F30" s="87">
        <f>(C27+(2*E27)+25)</f>
        <v>25</v>
      </c>
      <c r="G30" s="87">
        <f>SUM(C36:E36)</f>
        <v>34</v>
      </c>
      <c r="H30" s="90">
        <f>(F30*G30)/1000000</f>
        <v>8.4999999999999995E-4</v>
      </c>
      <c r="I30" s="91">
        <f>I34/H30</f>
        <v>588235.29411764711</v>
      </c>
      <c r="J30" s="92">
        <f t="shared" si="2"/>
        <v>25</v>
      </c>
      <c r="K30" s="92">
        <f t="shared" si="2"/>
        <v>34</v>
      </c>
    </row>
    <row r="31" spans="1:11" ht="13.2">
      <c r="A31" s="260"/>
      <c r="B31" s="116" t="s">
        <v>85</v>
      </c>
      <c r="C31" s="110"/>
      <c r="D31" s="117"/>
      <c r="E31" s="119"/>
      <c r="F31" s="110"/>
      <c r="G31" s="110"/>
    </row>
    <row r="32" spans="1:11" ht="13.35" customHeight="1">
      <c r="A32" s="260"/>
      <c r="B32" s="118">
        <f>VLOOKUP(Kalk!K12,$M$2:$P$9,3,0)</f>
        <v>700</v>
      </c>
      <c r="C32" s="263" t="s">
        <v>71</v>
      </c>
      <c r="D32" s="263"/>
      <c r="E32" s="263"/>
      <c r="F32" s="121"/>
      <c r="G32" s="121"/>
      <c r="H32" s="87"/>
      <c r="I32" s="264" t="s">
        <v>63</v>
      </c>
    </row>
    <row r="33" spans="1:11" ht="13.2">
      <c r="A33" s="260"/>
      <c r="B33" s="113"/>
      <c r="C33" s="124">
        <f>E27+3</f>
        <v>3</v>
      </c>
      <c r="D33" s="124">
        <f>D27+9</f>
        <v>9</v>
      </c>
      <c r="E33" s="124">
        <f>E27+3</f>
        <v>3</v>
      </c>
      <c r="F33" s="110"/>
      <c r="G33" s="110"/>
      <c r="H33" s="90"/>
      <c r="I33" s="264"/>
    </row>
    <row r="34" spans="1:11" ht="13.2">
      <c r="A34" s="260"/>
      <c r="B34" s="115"/>
      <c r="C34" s="124">
        <f>E27+4</f>
        <v>4</v>
      </c>
      <c r="D34" s="124">
        <f>D27+12</f>
        <v>12</v>
      </c>
      <c r="E34" s="124">
        <f>E27+4</f>
        <v>4</v>
      </c>
      <c r="F34" s="110"/>
      <c r="G34" s="110"/>
      <c r="H34" s="90"/>
      <c r="I34" s="99">
        <v>500</v>
      </c>
    </row>
    <row r="35" spans="1:11" ht="13.2">
      <c r="A35" s="260"/>
      <c r="C35" s="124">
        <f>E27+5</f>
        <v>5</v>
      </c>
      <c r="D35" s="124">
        <f>D27+15</f>
        <v>15</v>
      </c>
      <c r="E35" s="124">
        <f>E27+5</f>
        <v>5</v>
      </c>
    </row>
    <row r="36" spans="1:11" ht="13.2">
      <c r="A36" s="260"/>
      <c r="C36" s="124">
        <f>E27+7</f>
        <v>7</v>
      </c>
      <c r="D36" s="124">
        <f>D27+20</f>
        <v>20</v>
      </c>
      <c r="E36" s="124">
        <f>E27+7</f>
        <v>7</v>
      </c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(C39+(2*E39)+10)</f>
        <v>10</v>
      </c>
      <c r="G39" s="87">
        <f>SUM(C45:E45)</f>
        <v>15</v>
      </c>
      <c r="H39" s="90">
        <f>(F39*G39)/1000000</f>
        <v>1.4999999999999999E-4</v>
      </c>
      <c r="I39" s="91">
        <f>I46/H39</f>
        <v>3333333.3333333335</v>
      </c>
      <c r="J39" s="92">
        <f t="shared" ref="J39:K42" si="3">F39</f>
        <v>10</v>
      </c>
      <c r="K39" s="92">
        <f t="shared" si="3"/>
        <v>15</v>
      </c>
    </row>
    <row r="40" spans="1:11" ht="13.2">
      <c r="A40" s="260"/>
      <c r="B40" s="89"/>
      <c r="C40" s="6"/>
      <c r="D40" s="6"/>
      <c r="E40" s="6"/>
      <c r="F40" s="87">
        <f>(C39+(2*E39)+14)</f>
        <v>14</v>
      </c>
      <c r="G40" s="87">
        <f>SUM(C46:E46)</f>
        <v>20</v>
      </c>
      <c r="H40" s="90">
        <f>(F40*G40)/1000000</f>
        <v>2.7999999999999998E-4</v>
      </c>
      <c r="I40" s="91">
        <f>I46/H40</f>
        <v>1785714.2857142859</v>
      </c>
      <c r="J40" s="92">
        <f t="shared" si="3"/>
        <v>14</v>
      </c>
      <c r="K40" s="92">
        <f t="shared" si="3"/>
        <v>20</v>
      </c>
    </row>
    <row r="41" spans="1:11" ht="13.2">
      <c r="A41" s="260"/>
      <c r="B41" s="89"/>
      <c r="C41" s="6"/>
      <c r="D41" s="6"/>
      <c r="E41" s="6"/>
      <c r="F41" s="87">
        <f>(C39+(2*E39)+20)</f>
        <v>20</v>
      </c>
      <c r="G41" s="87">
        <f>SUM(C47:E47)</f>
        <v>25</v>
      </c>
      <c r="H41" s="90">
        <f>(F41*G41)/1000000</f>
        <v>5.0000000000000001E-4</v>
      </c>
      <c r="I41" s="91">
        <f>I46/H41</f>
        <v>1000000</v>
      </c>
      <c r="J41" s="92">
        <f t="shared" si="3"/>
        <v>20</v>
      </c>
      <c r="K41" s="92">
        <f t="shared" si="3"/>
        <v>25</v>
      </c>
    </row>
    <row r="42" spans="1:11" ht="13.2">
      <c r="A42" s="260"/>
      <c r="B42" s="89"/>
      <c r="C42" s="6"/>
      <c r="D42" s="6"/>
      <c r="E42" s="6"/>
      <c r="F42" s="87">
        <f>(C39+(2*E39)+25)</f>
        <v>25</v>
      </c>
      <c r="G42" s="87">
        <f>SUM(C48:E48)</f>
        <v>34</v>
      </c>
      <c r="H42" s="90">
        <f>(F42*G42)/1000000</f>
        <v>8.4999999999999995E-4</v>
      </c>
      <c r="I42" s="91">
        <f>I46/H42</f>
        <v>588235.29411764711</v>
      </c>
      <c r="J42" s="92">
        <f t="shared" si="3"/>
        <v>25</v>
      </c>
      <c r="K42" s="92">
        <f t="shared" si="3"/>
        <v>34</v>
      </c>
    </row>
    <row r="43" spans="1:11" ht="13.2">
      <c r="A43" s="260"/>
      <c r="B43" s="116" t="s">
        <v>85</v>
      </c>
      <c r="C43" s="110"/>
      <c r="D43" s="117"/>
      <c r="E43" s="119"/>
      <c r="F43" s="110"/>
      <c r="G43" s="110"/>
    </row>
    <row r="44" spans="1:11" ht="13.35" customHeight="1">
      <c r="A44" s="260"/>
      <c r="B44" s="118">
        <f>VLOOKUP(Kalk!K16,$M$2:$P$9,3,0)</f>
        <v>700</v>
      </c>
      <c r="C44" s="263" t="s">
        <v>71</v>
      </c>
      <c r="D44" s="263"/>
      <c r="E44" s="263"/>
      <c r="F44" s="121"/>
      <c r="G44" s="121"/>
      <c r="H44" s="87"/>
      <c r="I44" s="264" t="s">
        <v>63</v>
      </c>
    </row>
    <row r="45" spans="1:11" ht="13.2">
      <c r="A45" s="260"/>
      <c r="B45" s="113"/>
      <c r="C45" s="124">
        <f>E39+3</f>
        <v>3</v>
      </c>
      <c r="D45" s="124">
        <f>D39+9</f>
        <v>9</v>
      </c>
      <c r="E45" s="124">
        <f>E39+3</f>
        <v>3</v>
      </c>
      <c r="F45" s="110"/>
      <c r="G45" s="110"/>
      <c r="H45" s="90"/>
      <c r="I45" s="264"/>
    </row>
    <row r="46" spans="1:11" ht="13.2">
      <c r="A46" s="260"/>
      <c r="B46" s="115"/>
      <c r="C46" s="124">
        <f>E39+4</f>
        <v>4</v>
      </c>
      <c r="D46" s="124">
        <f>D39+12</f>
        <v>12</v>
      </c>
      <c r="E46" s="124">
        <f>E39+4</f>
        <v>4</v>
      </c>
      <c r="F46" s="110"/>
      <c r="G46" s="110"/>
      <c r="H46" s="90"/>
      <c r="I46" s="99">
        <v>500</v>
      </c>
    </row>
    <row r="47" spans="1:11" ht="13.2">
      <c r="A47" s="260"/>
      <c r="C47" s="124">
        <f>E39+5</f>
        <v>5</v>
      </c>
      <c r="D47" s="124">
        <f>D39+15</f>
        <v>15</v>
      </c>
      <c r="E47" s="124">
        <f>E39+5</f>
        <v>5</v>
      </c>
    </row>
    <row r="48" spans="1:11" ht="13.2">
      <c r="A48" s="260"/>
      <c r="C48" s="124">
        <f>E39+7</f>
        <v>7</v>
      </c>
      <c r="D48" s="124">
        <f>D39+20</f>
        <v>20</v>
      </c>
      <c r="E48" s="124">
        <f>E39+7</f>
        <v>7</v>
      </c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(C51+(2*E51)+10)</f>
        <v>10</v>
      </c>
      <c r="G51" s="87">
        <f>SUM(C57:E57)</f>
        <v>15</v>
      </c>
      <c r="H51" s="90">
        <f>(F51*G51)/1000000</f>
        <v>1.4999999999999999E-4</v>
      </c>
      <c r="I51" s="91">
        <f>I58/H51</f>
        <v>3333333.3333333335</v>
      </c>
      <c r="J51" s="92">
        <f t="shared" ref="J51:K54" si="4">F51</f>
        <v>10</v>
      </c>
      <c r="K51" s="92">
        <f t="shared" si="4"/>
        <v>15</v>
      </c>
    </row>
    <row r="52" spans="1:11" ht="13.2">
      <c r="A52" s="260"/>
      <c r="B52" s="89"/>
      <c r="C52" s="6"/>
      <c r="D52" s="6"/>
      <c r="E52" s="6"/>
      <c r="F52" s="87">
        <f>(C51+(2*E51)+14)</f>
        <v>14</v>
      </c>
      <c r="G52" s="87">
        <f>SUM(C58:E58)</f>
        <v>20</v>
      </c>
      <c r="H52" s="90">
        <f>(F52*G52)/1000000</f>
        <v>2.7999999999999998E-4</v>
      </c>
      <c r="I52" s="91">
        <f>I58/H52</f>
        <v>1785714.2857142859</v>
      </c>
      <c r="J52" s="92">
        <f t="shared" si="4"/>
        <v>14</v>
      </c>
      <c r="K52" s="92">
        <f t="shared" si="4"/>
        <v>20</v>
      </c>
    </row>
    <row r="53" spans="1:11" ht="13.2">
      <c r="A53" s="260"/>
      <c r="B53" s="89"/>
      <c r="C53" s="6"/>
      <c r="D53" s="6"/>
      <c r="E53" s="6"/>
      <c r="F53" s="87">
        <f>(C51+(2*E51)+20)</f>
        <v>20</v>
      </c>
      <c r="G53" s="87">
        <f>SUM(C59:E59)</f>
        <v>25</v>
      </c>
      <c r="H53" s="90">
        <f>(F53*G53)/1000000</f>
        <v>5.0000000000000001E-4</v>
      </c>
      <c r="I53" s="91">
        <f>I58/H53</f>
        <v>1000000</v>
      </c>
      <c r="J53" s="92">
        <f t="shared" si="4"/>
        <v>20</v>
      </c>
      <c r="K53" s="92">
        <f t="shared" si="4"/>
        <v>25</v>
      </c>
    </row>
    <row r="54" spans="1:11" ht="13.2">
      <c r="A54" s="260"/>
      <c r="B54" s="89"/>
      <c r="C54" s="6"/>
      <c r="D54" s="6"/>
      <c r="E54" s="6"/>
      <c r="F54" s="87">
        <f>(C51+(2*E51)+25)</f>
        <v>25</v>
      </c>
      <c r="G54" s="87">
        <f>SUM(C60:E60)</f>
        <v>34</v>
      </c>
      <c r="H54" s="90">
        <f>(F54*G54)/1000000</f>
        <v>8.4999999999999995E-4</v>
      </c>
      <c r="I54" s="91">
        <f>I58/H54</f>
        <v>588235.29411764711</v>
      </c>
      <c r="J54" s="92">
        <f t="shared" si="4"/>
        <v>25</v>
      </c>
      <c r="K54" s="92">
        <f t="shared" si="4"/>
        <v>34</v>
      </c>
    </row>
    <row r="55" spans="1:11" ht="13.2">
      <c r="A55" s="260"/>
      <c r="B55" s="116" t="s">
        <v>85</v>
      </c>
      <c r="C55" s="110"/>
      <c r="D55" s="117"/>
      <c r="E55" s="119"/>
      <c r="F55" s="110"/>
      <c r="G55" s="110"/>
    </row>
    <row r="56" spans="1:11" ht="13.35" customHeight="1">
      <c r="A56" s="260"/>
      <c r="B56" s="118">
        <f>VLOOKUP(Kalk!K20,$M$2:$P$9,3,0)</f>
        <v>700</v>
      </c>
      <c r="C56" s="263" t="s">
        <v>71</v>
      </c>
      <c r="D56" s="263"/>
      <c r="E56" s="263"/>
      <c r="F56" s="121"/>
      <c r="G56" s="121"/>
      <c r="H56" s="87"/>
      <c r="I56" s="264" t="s">
        <v>63</v>
      </c>
    </row>
    <row r="57" spans="1:11" ht="13.2">
      <c r="A57" s="260"/>
      <c r="B57" s="113"/>
      <c r="C57" s="124">
        <f>E51+3</f>
        <v>3</v>
      </c>
      <c r="D57" s="124">
        <f>D51+9</f>
        <v>9</v>
      </c>
      <c r="E57" s="124">
        <f>E51+3</f>
        <v>3</v>
      </c>
      <c r="F57" s="110"/>
      <c r="G57" s="110"/>
      <c r="H57" s="90"/>
      <c r="I57" s="264"/>
    </row>
    <row r="58" spans="1:11" ht="13.2">
      <c r="A58" s="260"/>
      <c r="B58" s="115"/>
      <c r="C58" s="124">
        <f>E51+4</f>
        <v>4</v>
      </c>
      <c r="D58" s="124">
        <f>D51+12</f>
        <v>12</v>
      </c>
      <c r="E58" s="124">
        <f>E51+4</f>
        <v>4</v>
      </c>
      <c r="F58" s="110"/>
      <c r="G58" s="110"/>
      <c r="H58" s="90"/>
      <c r="I58" s="99">
        <v>500</v>
      </c>
    </row>
    <row r="59" spans="1:11" ht="13.2">
      <c r="A59" s="260"/>
      <c r="C59" s="124">
        <f>E51+5</f>
        <v>5</v>
      </c>
      <c r="D59" s="124">
        <f>D51+15</f>
        <v>15</v>
      </c>
      <c r="E59" s="124">
        <f>E51+5</f>
        <v>5</v>
      </c>
    </row>
    <row r="60" spans="1:11" ht="13.2">
      <c r="A60" s="260"/>
      <c r="C60" s="124">
        <f>E51+7</f>
        <v>7</v>
      </c>
      <c r="D60" s="124">
        <f>D51+20</f>
        <v>20</v>
      </c>
      <c r="E60" s="124">
        <f>E51+7</f>
        <v>7</v>
      </c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(C63+(2*E63)+10)</f>
        <v>10</v>
      </c>
      <c r="G63" s="87">
        <f>SUM(C69:E69)</f>
        <v>15</v>
      </c>
      <c r="H63" s="90">
        <f>(F63*G63)/1000000</f>
        <v>1.4999999999999999E-4</v>
      </c>
      <c r="I63" s="91">
        <f>I70/H63</f>
        <v>3333333.3333333335</v>
      </c>
      <c r="J63" s="92">
        <f t="shared" ref="J63:K66" si="5">F63</f>
        <v>10</v>
      </c>
      <c r="K63" s="92">
        <f t="shared" si="5"/>
        <v>15</v>
      </c>
    </row>
    <row r="64" spans="1:11" ht="13.2">
      <c r="A64" s="260"/>
      <c r="B64" s="89"/>
      <c r="C64" s="6"/>
      <c r="D64" s="6"/>
      <c r="E64" s="6"/>
      <c r="F64" s="87">
        <f>(C63+(2*E63)+14)</f>
        <v>14</v>
      </c>
      <c r="G64" s="87">
        <f>SUM(C70:E70)</f>
        <v>20</v>
      </c>
      <c r="H64" s="90">
        <f>(F64*G64)/1000000</f>
        <v>2.7999999999999998E-4</v>
      </c>
      <c r="I64" s="91">
        <f>I70/H64</f>
        <v>1785714.2857142859</v>
      </c>
      <c r="J64" s="92">
        <f t="shared" si="5"/>
        <v>14</v>
      </c>
      <c r="K64" s="92">
        <f t="shared" si="5"/>
        <v>20</v>
      </c>
    </row>
    <row r="65" spans="1:11" ht="13.2">
      <c r="A65" s="260"/>
      <c r="B65" s="89"/>
      <c r="C65" s="6"/>
      <c r="D65" s="6"/>
      <c r="E65" s="6"/>
      <c r="F65" s="87">
        <f>(C63+(2*E63)+20)</f>
        <v>20</v>
      </c>
      <c r="G65" s="87">
        <f>SUM(C71:E71)</f>
        <v>25</v>
      </c>
      <c r="H65" s="90">
        <f>(F65*G65)/1000000</f>
        <v>5.0000000000000001E-4</v>
      </c>
      <c r="I65" s="91">
        <f>I70/H65</f>
        <v>1000000</v>
      </c>
      <c r="J65" s="92">
        <f t="shared" si="5"/>
        <v>20</v>
      </c>
      <c r="K65" s="92">
        <f t="shared" si="5"/>
        <v>25</v>
      </c>
    </row>
    <row r="66" spans="1:11" ht="13.2">
      <c r="A66" s="260"/>
      <c r="B66" s="89"/>
      <c r="C66" s="6"/>
      <c r="D66" s="6"/>
      <c r="E66" s="6"/>
      <c r="F66" s="87">
        <f>(C63+(2*E63)+25)</f>
        <v>25</v>
      </c>
      <c r="G66" s="87">
        <f>SUM(C72:E72)</f>
        <v>34</v>
      </c>
      <c r="H66" s="90">
        <f>(F66*G66)/1000000</f>
        <v>8.4999999999999995E-4</v>
      </c>
      <c r="I66" s="91">
        <f>I70/H66</f>
        <v>588235.29411764711</v>
      </c>
      <c r="J66" s="92">
        <f t="shared" si="5"/>
        <v>25</v>
      </c>
      <c r="K66" s="92">
        <f t="shared" si="5"/>
        <v>34</v>
      </c>
    </row>
    <row r="67" spans="1:11" ht="13.2">
      <c r="A67" s="260"/>
      <c r="B67" s="116" t="s">
        <v>85</v>
      </c>
      <c r="C67" s="110"/>
      <c r="D67" s="117"/>
      <c r="E67" s="119"/>
      <c r="F67" s="110"/>
      <c r="G67" s="110"/>
    </row>
    <row r="68" spans="1:11" ht="13.35" customHeight="1">
      <c r="A68" s="260"/>
      <c r="B68" s="118">
        <f>VLOOKUP(Kalk!K24,$M$2:$P$9,3,0)</f>
        <v>700</v>
      </c>
      <c r="C68" s="263" t="s">
        <v>71</v>
      </c>
      <c r="D68" s="263"/>
      <c r="E68" s="263"/>
      <c r="F68" s="121"/>
      <c r="G68" s="121"/>
      <c r="H68" s="87"/>
      <c r="I68" s="264" t="s">
        <v>63</v>
      </c>
    </row>
    <row r="69" spans="1:11" ht="13.2">
      <c r="A69" s="260"/>
      <c r="B69" s="113"/>
      <c r="C69" s="124">
        <f>E63+3</f>
        <v>3</v>
      </c>
      <c r="D69" s="124">
        <f>D63+9</f>
        <v>9</v>
      </c>
      <c r="E69" s="124">
        <f>E63+3</f>
        <v>3</v>
      </c>
      <c r="F69" s="110"/>
      <c r="G69" s="110"/>
      <c r="H69" s="90"/>
      <c r="I69" s="264"/>
    </row>
    <row r="70" spans="1:11" ht="13.2">
      <c r="A70" s="260"/>
      <c r="B70" s="115"/>
      <c r="C70" s="124">
        <f>E63+4</f>
        <v>4</v>
      </c>
      <c r="D70" s="124">
        <f>D63+12</f>
        <v>12</v>
      </c>
      <c r="E70" s="124">
        <f>E63+4</f>
        <v>4</v>
      </c>
      <c r="F70" s="110"/>
      <c r="G70" s="110"/>
      <c r="H70" s="90"/>
      <c r="I70" s="99">
        <v>500</v>
      </c>
    </row>
    <row r="71" spans="1:11" ht="13.2">
      <c r="A71" s="260"/>
      <c r="C71" s="124">
        <f>E63+5</f>
        <v>5</v>
      </c>
      <c r="D71" s="124">
        <f>D63+15</f>
        <v>15</v>
      </c>
      <c r="E71" s="124">
        <f>E63+5</f>
        <v>5</v>
      </c>
    </row>
    <row r="72" spans="1:11" ht="13.2">
      <c r="A72" s="260"/>
      <c r="C72" s="124">
        <f>E63+7</f>
        <v>7</v>
      </c>
      <c r="D72" s="124">
        <f>D63+20</f>
        <v>20</v>
      </c>
      <c r="E72" s="124">
        <f>E63+7</f>
        <v>7</v>
      </c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(C75+(2*E75)+10)</f>
        <v>10</v>
      </c>
      <c r="G75" s="87">
        <f>SUM(C81:E81)</f>
        <v>15</v>
      </c>
      <c r="H75" s="90">
        <f>(F75*G75)/1000000</f>
        <v>1.4999999999999999E-4</v>
      </c>
      <c r="I75" s="91">
        <f>I82/H75</f>
        <v>3333333.3333333335</v>
      </c>
      <c r="J75" s="92">
        <f t="shared" ref="J75:K78" si="6">F75</f>
        <v>10</v>
      </c>
      <c r="K75" s="92">
        <f t="shared" si="6"/>
        <v>15</v>
      </c>
    </row>
    <row r="76" spans="1:11" ht="13.2">
      <c r="A76" s="260"/>
      <c r="B76" s="89"/>
      <c r="C76" s="6"/>
      <c r="D76" s="6"/>
      <c r="E76" s="6"/>
      <c r="F76" s="87">
        <f>(C75+(2*E75)+14)</f>
        <v>14</v>
      </c>
      <c r="G76" s="87">
        <f>SUM(C82:E82)</f>
        <v>20</v>
      </c>
      <c r="H76" s="90">
        <f>(F76*G76)/1000000</f>
        <v>2.7999999999999998E-4</v>
      </c>
      <c r="I76" s="91">
        <f>I82/H76</f>
        <v>1785714.2857142859</v>
      </c>
      <c r="J76" s="92">
        <f t="shared" si="6"/>
        <v>14</v>
      </c>
      <c r="K76" s="92">
        <f t="shared" si="6"/>
        <v>20</v>
      </c>
    </row>
    <row r="77" spans="1:11" ht="13.2">
      <c r="A77" s="260"/>
      <c r="B77" s="89"/>
      <c r="C77" s="6"/>
      <c r="D77" s="6"/>
      <c r="E77" s="6"/>
      <c r="F77" s="87">
        <f>(C75+(2*E75)+20)</f>
        <v>20</v>
      </c>
      <c r="G77" s="87">
        <f>SUM(C83:E83)</f>
        <v>25</v>
      </c>
      <c r="H77" s="90">
        <f>(F77*G77)/1000000</f>
        <v>5.0000000000000001E-4</v>
      </c>
      <c r="I77" s="91">
        <f>I82/H77</f>
        <v>1000000</v>
      </c>
      <c r="J77" s="92">
        <f t="shared" si="6"/>
        <v>20</v>
      </c>
      <c r="K77" s="92">
        <f t="shared" si="6"/>
        <v>25</v>
      </c>
    </row>
    <row r="78" spans="1:11" ht="13.2">
      <c r="A78" s="260"/>
      <c r="B78" s="89"/>
      <c r="C78" s="6"/>
      <c r="D78" s="6"/>
      <c r="E78" s="6"/>
      <c r="F78" s="87">
        <f>(C75+(2*E75)+25)</f>
        <v>25</v>
      </c>
      <c r="G78" s="87">
        <f>SUM(C84:E84)</f>
        <v>34</v>
      </c>
      <c r="H78" s="90">
        <f>(F78*G78)/1000000</f>
        <v>8.4999999999999995E-4</v>
      </c>
      <c r="I78" s="91">
        <f>I82/H78</f>
        <v>588235.29411764711</v>
      </c>
      <c r="J78" s="92">
        <f t="shared" si="6"/>
        <v>25</v>
      </c>
      <c r="K78" s="92">
        <f t="shared" si="6"/>
        <v>34</v>
      </c>
    </row>
    <row r="79" spans="1:11" ht="13.2">
      <c r="A79" s="260"/>
      <c r="B79" s="116" t="s">
        <v>85</v>
      </c>
      <c r="C79" s="110"/>
      <c r="D79" s="117"/>
      <c r="E79" s="119"/>
      <c r="F79" s="110"/>
      <c r="G79" s="110"/>
    </row>
    <row r="80" spans="1:11" ht="13.35" customHeight="1">
      <c r="A80" s="260"/>
      <c r="B80" s="118">
        <f>VLOOKUP(Kalk!K28,$M$2:$P$9,3,0)</f>
        <v>700</v>
      </c>
      <c r="C80" s="263" t="s">
        <v>71</v>
      </c>
      <c r="D80" s="263"/>
      <c r="E80" s="263"/>
      <c r="F80" s="121"/>
      <c r="G80" s="121"/>
      <c r="H80" s="87"/>
      <c r="I80" s="264" t="s">
        <v>63</v>
      </c>
    </row>
    <row r="81" spans="1:11" ht="13.2">
      <c r="A81" s="260"/>
      <c r="B81" s="113"/>
      <c r="C81" s="124">
        <f>E75+3</f>
        <v>3</v>
      </c>
      <c r="D81" s="124">
        <f>D75+9</f>
        <v>9</v>
      </c>
      <c r="E81" s="124">
        <f>E75+3</f>
        <v>3</v>
      </c>
      <c r="F81" s="110"/>
      <c r="G81" s="110"/>
      <c r="H81" s="90"/>
      <c r="I81" s="264"/>
    </row>
    <row r="82" spans="1:11" ht="13.2">
      <c r="A82" s="260"/>
      <c r="B82" s="115"/>
      <c r="C82" s="124">
        <f>E75+4</f>
        <v>4</v>
      </c>
      <c r="D82" s="124">
        <f>D75+12</f>
        <v>12</v>
      </c>
      <c r="E82" s="124">
        <f>E75+4</f>
        <v>4</v>
      </c>
      <c r="F82" s="110"/>
      <c r="G82" s="110"/>
      <c r="H82" s="90"/>
      <c r="I82" s="99">
        <v>500</v>
      </c>
    </row>
    <row r="83" spans="1:11" ht="13.2">
      <c r="A83" s="260"/>
      <c r="C83" s="124">
        <f>E75+5</f>
        <v>5</v>
      </c>
      <c r="D83" s="124">
        <f>D75+15</f>
        <v>15</v>
      </c>
      <c r="E83" s="124">
        <f>E75+5</f>
        <v>5</v>
      </c>
    </row>
    <row r="84" spans="1:11" ht="13.2">
      <c r="A84" s="260"/>
      <c r="C84" s="124">
        <f>E75+7</f>
        <v>7</v>
      </c>
      <c r="D84" s="124">
        <f>D75+20</f>
        <v>20</v>
      </c>
      <c r="E84" s="124">
        <f>E75+7</f>
        <v>7</v>
      </c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(C87+(2*E87)+10)</f>
        <v>10</v>
      </c>
      <c r="G87" s="87">
        <f>SUM(C93:E93)</f>
        <v>15</v>
      </c>
      <c r="H87" s="90">
        <f>(F87*G87)/1000000</f>
        <v>1.4999999999999999E-4</v>
      </c>
      <c r="I87" s="91">
        <f>I94/H87</f>
        <v>3333333.3333333335</v>
      </c>
      <c r="J87" s="92">
        <f t="shared" ref="J87:K90" si="7">F87</f>
        <v>10</v>
      </c>
      <c r="K87" s="92">
        <f t="shared" si="7"/>
        <v>15</v>
      </c>
    </row>
    <row r="88" spans="1:11" ht="13.2">
      <c r="A88" s="260"/>
      <c r="B88" s="89"/>
      <c r="C88" s="6"/>
      <c r="D88" s="6"/>
      <c r="E88" s="6"/>
      <c r="F88" s="87">
        <f>(C87+(2*E87)+14)</f>
        <v>14</v>
      </c>
      <c r="G88" s="87">
        <f>SUM(C94:E94)</f>
        <v>20</v>
      </c>
      <c r="H88" s="90">
        <f>(F88*G88)/1000000</f>
        <v>2.7999999999999998E-4</v>
      </c>
      <c r="I88" s="91">
        <f>I94/H88</f>
        <v>1785714.2857142859</v>
      </c>
      <c r="J88" s="92">
        <f t="shared" si="7"/>
        <v>14</v>
      </c>
      <c r="K88" s="92">
        <f t="shared" si="7"/>
        <v>20</v>
      </c>
    </row>
    <row r="89" spans="1:11" ht="13.2">
      <c r="A89" s="260"/>
      <c r="B89" s="89"/>
      <c r="C89" s="6"/>
      <c r="D89" s="6"/>
      <c r="E89" s="6"/>
      <c r="F89" s="87">
        <f>(C87+(2*E87)+20)</f>
        <v>20</v>
      </c>
      <c r="G89" s="87">
        <f>SUM(C95:E95)</f>
        <v>25</v>
      </c>
      <c r="H89" s="90">
        <f>(F89*G89)/1000000</f>
        <v>5.0000000000000001E-4</v>
      </c>
      <c r="I89" s="91">
        <f>I94/H89</f>
        <v>1000000</v>
      </c>
      <c r="J89" s="92">
        <f t="shared" si="7"/>
        <v>20</v>
      </c>
      <c r="K89" s="92">
        <f t="shared" si="7"/>
        <v>25</v>
      </c>
    </row>
    <row r="90" spans="1:11" ht="13.2">
      <c r="A90" s="260"/>
      <c r="B90" s="89"/>
      <c r="C90" s="6"/>
      <c r="D90" s="6"/>
      <c r="E90" s="6"/>
      <c r="F90" s="87">
        <f>(C87+(2*E87)+25)</f>
        <v>25</v>
      </c>
      <c r="G90" s="87">
        <f>SUM(C96:E96)</f>
        <v>34</v>
      </c>
      <c r="H90" s="90">
        <f>(F90*G90)/1000000</f>
        <v>8.4999999999999995E-4</v>
      </c>
      <c r="I90" s="91">
        <f>I94/H90</f>
        <v>588235.29411764711</v>
      </c>
      <c r="J90" s="92">
        <f t="shared" si="7"/>
        <v>25</v>
      </c>
      <c r="K90" s="92">
        <f t="shared" si="7"/>
        <v>34</v>
      </c>
    </row>
    <row r="91" spans="1:11" ht="13.2">
      <c r="A91" s="260"/>
      <c r="B91" s="116" t="s">
        <v>85</v>
      </c>
      <c r="C91" s="110"/>
      <c r="D91" s="117"/>
      <c r="E91" s="119"/>
      <c r="F91" s="110"/>
      <c r="G91" s="110"/>
    </row>
    <row r="92" spans="1:11" ht="13.35" customHeight="1">
      <c r="A92" s="260"/>
      <c r="B92" s="118">
        <f>VLOOKUP(Kalk!K32,$M$2:$P$9,3,0)</f>
        <v>700</v>
      </c>
      <c r="C92" s="263" t="s">
        <v>71</v>
      </c>
      <c r="D92" s="263"/>
      <c r="E92" s="263"/>
      <c r="F92" s="121"/>
      <c r="G92" s="121"/>
      <c r="H92" s="87"/>
      <c r="I92" s="264" t="s">
        <v>63</v>
      </c>
    </row>
    <row r="93" spans="1:11" ht="13.2">
      <c r="A93" s="260"/>
      <c r="B93" s="113"/>
      <c r="C93" s="124">
        <f>E87+3</f>
        <v>3</v>
      </c>
      <c r="D93" s="124">
        <f>D87+9</f>
        <v>9</v>
      </c>
      <c r="E93" s="124">
        <f>E87+3</f>
        <v>3</v>
      </c>
      <c r="F93" s="110"/>
      <c r="G93" s="110"/>
      <c r="H93" s="90"/>
      <c r="I93" s="264"/>
    </row>
    <row r="94" spans="1:11" ht="13.2">
      <c r="A94" s="260"/>
      <c r="B94" s="115"/>
      <c r="C94" s="124">
        <f>E87+4</f>
        <v>4</v>
      </c>
      <c r="D94" s="124">
        <f>D87+12</f>
        <v>12</v>
      </c>
      <c r="E94" s="124">
        <f>E87+4</f>
        <v>4</v>
      </c>
      <c r="F94" s="110"/>
      <c r="G94" s="110"/>
      <c r="H94" s="90"/>
      <c r="I94" s="99">
        <v>500</v>
      </c>
    </row>
    <row r="95" spans="1:11" ht="13.2">
      <c r="A95" s="260"/>
      <c r="C95" s="124">
        <f>E87+5</f>
        <v>5</v>
      </c>
      <c r="D95" s="124">
        <f>D87+15</f>
        <v>15</v>
      </c>
      <c r="E95" s="124">
        <f>E87+5</f>
        <v>5</v>
      </c>
    </row>
    <row r="96" spans="1:11" ht="13.2">
      <c r="A96" s="260"/>
      <c r="C96" s="124">
        <f>E87+7</f>
        <v>7</v>
      </c>
      <c r="D96" s="124">
        <f>D87+20</f>
        <v>20</v>
      </c>
      <c r="E96" s="124">
        <f>E87+7</f>
        <v>7</v>
      </c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(C99+(2*E99)+10)</f>
        <v>10</v>
      </c>
      <c r="G99" s="87">
        <f>SUM(C105:E105)</f>
        <v>15</v>
      </c>
      <c r="H99" s="90">
        <f>(F99*G99)/1000000</f>
        <v>1.4999999999999999E-4</v>
      </c>
      <c r="I99" s="91">
        <f>I106/H99</f>
        <v>3333333.3333333335</v>
      </c>
      <c r="J99" s="92">
        <f t="shared" ref="J99:K102" si="8">F99</f>
        <v>10</v>
      </c>
      <c r="K99" s="92">
        <f t="shared" si="8"/>
        <v>15</v>
      </c>
    </row>
    <row r="100" spans="1:11" ht="13.2">
      <c r="A100" s="260"/>
      <c r="B100" s="89"/>
      <c r="C100" s="6"/>
      <c r="D100" s="6"/>
      <c r="E100" s="6"/>
      <c r="F100" s="87">
        <f>(C99+(2*E99)+14)</f>
        <v>14</v>
      </c>
      <c r="G100" s="87">
        <f>SUM(C106:E106)</f>
        <v>20</v>
      </c>
      <c r="H100" s="90">
        <f>(F100*G100)/1000000</f>
        <v>2.7999999999999998E-4</v>
      </c>
      <c r="I100" s="91">
        <f>I106/H100</f>
        <v>1785714.2857142859</v>
      </c>
      <c r="J100" s="92">
        <f t="shared" si="8"/>
        <v>14</v>
      </c>
      <c r="K100" s="92">
        <f t="shared" si="8"/>
        <v>20</v>
      </c>
    </row>
    <row r="101" spans="1:11" ht="13.2">
      <c r="A101" s="260"/>
      <c r="B101" s="89"/>
      <c r="C101" s="6"/>
      <c r="D101" s="6"/>
      <c r="E101" s="6"/>
      <c r="F101" s="87">
        <f>(C99+(2*E99)+20)</f>
        <v>20</v>
      </c>
      <c r="G101" s="87">
        <f>SUM(C107:E107)</f>
        <v>25</v>
      </c>
      <c r="H101" s="90">
        <f>(F101*G101)/1000000</f>
        <v>5.0000000000000001E-4</v>
      </c>
      <c r="I101" s="91">
        <f>I106/H101</f>
        <v>1000000</v>
      </c>
      <c r="J101" s="92">
        <f t="shared" si="8"/>
        <v>20</v>
      </c>
      <c r="K101" s="92">
        <f t="shared" si="8"/>
        <v>25</v>
      </c>
    </row>
    <row r="102" spans="1:11" ht="13.2">
      <c r="A102" s="260"/>
      <c r="B102" s="89"/>
      <c r="C102" s="6"/>
      <c r="D102" s="6"/>
      <c r="E102" s="6"/>
      <c r="F102" s="87">
        <f>(C99+(2*E99)+25)</f>
        <v>25</v>
      </c>
      <c r="G102" s="87">
        <f>SUM(C108:E108)</f>
        <v>34</v>
      </c>
      <c r="H102" s="90">
        <f>(F102*G102)/1000000</f>
        <v>8.4999999999999995E-4</v>
      </c>
      <c r="I102" s="91">
        <f>I106/H102</f>
        <v>588235.29411764711</v>
      </c>
      <c r="J102" s="92">
        <f t="shared" si="8"/>
        <v>25</v>
      </c>
      <c r="K102" s="92">
        <f t="shared" si="8"/>
        <v>34</v>
      </c>
    </row>
    <row r="103" spans="1:11" ht="13.2">
      <c r="A103" s="260"/>
      <c r="B103" s="116" t="s">
        <v>85</v>
      </c>
      <c r="C103" s="110"/>
      <c r="D103" s="117"/>
      <c r="E103" s="119"/>
      <c r="F103" s="110"/>
      <c r="G103" s="110"/>
    </row>
    <row r="104" spans="1:11" ht="13.35" customHeight="1">
      <c r="A104" s="260"/>
      <c r="B104" s="118">
        <f>VLOOKUP(Kalk!K36,$M$2:$P$9,3,0)</f>
        <v>700</v>
      </c>
      <c r="C104" s="263" t="s">
        <v>71</v>
      </c>
      <c r="D104" s="263"/>
      <c r="E104" s="263"/>
      <c r="F104" s="121"/>
      <c r="G104" s="121"/>
      <c r="H104" s="87"/>
      <c r="I104" s="264" t="s">
        <v>63</v>
      </c>
    </row>
    <row r="105" spans="1:11" ht="13.2">
      <c r="A105" s="260"/>
      <c r="B105" s="113"/>
      <c r="C105" s="124">
        <f>E99+3</f>
        <v>3</v>
      </c>
      <c r="D105" s="124">
        <f>D99+9</f>
        <v>9</v>
      </c>
      <c r="E105" s="124">
        <f>E99+3</f>
        <v>3</v>
      </c>
      <c r="F105" s="110"/>
      <c r="G105" s="110"/>
      <c r="H105" s="90"/>
      <c r="I105" s="264"/>
    </row>
    <row r="106" spans="1:11" ht="13.2">
      <c r="A106" s="260"/>
      <c r="B106" s="115"/>
      <c r="C106" s="124">
        <f>E99+4</f>
        <v>4</v>
      </c>
      <c r="D106" s="124">
        <f>D99+12</f>
        <v>12</v>
      </c>
      <c r="E106" s="124">
        <f>E99+4</f>
        <v>4</v>
      </c>
      <c r="F106" s="110"/>
      <c r="G106" s="110"/>
      <c r="H106" s="90"/>
      <c r="I106" s="99">
        <v>500</v>
      </c>
    </row>
    <row r="107" spans="1:11" ht="13.2">
      <c r="A107" s="260"/>
      <c r="C107" s="124">
        <f>E99+5</f>
        <v>5</v>
      </c>
      <c r="D107" s="124">
        <f>D99+15</f>
        <v>15</v>
      </c>
      <c r="E107" s="124">
        <f>E99+5</f>
        <v>5</v>
      </c>
    </row>
    <row r="108" spans="1:11" ht="13.2">
      <c r="A108" s="260"/>
      <c r="C108" s="124">
        <f>E99+7</f>
        <v>7</v>
      </c>
      <c r="D108" s="124">
        <f>D99+20</f>
        <v>20</v>
      </c>
      <c r="E108" s="124">
        <f>E99+7</f>
        <v>7</v>
      </c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(C111+(2*E111)+10)</f>
        <v>10</v>
      </c>
      <c r="G111" s="87">
        <f>SUM(C117:E117)</f>
        <v>15</v>
      </c>
      <c r="H111" s="90">
        <f>(F111*G111)/1000000</f>
        <v>1.4999999999999999E-4</v>
      </c>
      <c r="I111" s="91">
        <f>I118/H111</f>
        <v>3333333.3333333335</v>
      </c>
      <c r="J111" s="92">
        <f t="shared" ref="J111:K114" si="9">F111</f>
        <v>10</v>
      </c>
      <c r="K111" s="92">
        <f t="shared" si="9"/>
        <v>15</v>
      </c>
    </row>
    <row r="112" spans="1:11" ht="13.2">
      <c r="A112" s="260"/>
      <c r="B112" s="89"/>
      <c r="C112" s="6"/>
      <c r="D112" s="6"/>
      <c r="E112" s="6"/>
      <c r="F112" s="87">
        <f>(C111+(2*E111)+14)</f>
        <v>14</v>
      </c>
      <c r="G112" s="87">
        <f>SUM(C118:E118)</f>
        <v>20</v>
      </c>
      <c r="H112" s="90">
        <f>(F112*G112)/1000000</f>
        <v>2.7999999999999998E-4</v>
      </c>
      <c r="I112" s="91">
        <f>I118/H112</f>
        <v>1785714.2857142859</v>
      </c>
      <c r="J112" s="92">
        <f t="shared" si="9"/>
        <v>14</v>
      </c>
      <c r="K112" s="92">
        <f t="shared" si="9"/>
        <v>20</v>
      </c>
    </row>
    <row r="113" spans="1:11" ht="13.2">
      <c r="A113" s="260"/>
      <c r="B113" s="89"/>
      <c r="C113" s="6"/>
      <c r="D113" s="6"/>
      <c r="E113" s="6"/>
      <c r="F113" s="87">
        <f>(C111+(2*E111)+20)</f>
        <v>20</v>
      </c>
      <c r="G113" s="87">
        <f>SUM(C119:E119)</f>
        <v>25</v>
      </c>
      <c r="H113" s="90">
        <f>(F113*G113)/1000000</f>
        <v>5.0000000000000001E-4</v>
      </c>
      <c r="I113" s="91">
        <f>I118/H113</f>
        <v>1000000</v>
      </c>
      <c r="J113" s="92">
        <f t="shared" si="9"/>
        <v>20</v>
      </c>
      <c r="K113" s="92">
        <f t="shared" si="9"/>
        <v>25</v>
      </c>
    </row>
    <row r="114" spans="1:11" ht="13.2">
      <c r="A114" s="260"/>
      <c r="B114" s="89"/>
      <c r="C114" s="6"/>
      <c r="D114" s="6"/>
      <c r="E114" s="6"/>
      <c r="F114" s="87">
        <f>(C111+(2*E111)+25)</f>
        <v>25</v>
      </c>
      <c r="G114" s="87">
        <f>SUM(C120:E120)</f>
        <v>34</v>
      </c>
      <c r="H114" s="90">
        <f>(F114*G114)/1000000</f>
        <v>8.4999999999999995E-4</v>
      </c>
      <c r="I114" s="91">
        <f>I118/H114</f>
        <v>588235.29411764711</v>
      </c>
      <c r="J114" s="92">
        <f t="shared" si="9"/>
        <v>25</v>
      </c>
      <c r="K114" s="92">
        <f t="shared" si="9"/>
        <v>34</v>
      </c>
    </row>
    <row r="115" spans="1:11" ht="13.2">
      <c r="A115" s="260"/>
      <c r="B115" s="116" t="s">
        <v>85</v>
      </c>
      <c r="C115" s="110"/>
      <c r="D115" s="117"/>
      <c r="E115" s="119"/>
      <c r="F115" s="110"/>
      <c r="G115" s="110"/>
    </row>
    <row r="116" spans="1:11" ht="13.35" customHeight="1">
      <c r="A116" s="260"/>
      <c r="B116" s="118">
        <f>VLOOKUP(Kalk!K40,$M$2:$P$9,3,0)</f>
        <v>700</v>
      </c>
      <c r="C116" s="263" t="s">
        <v>71</v>
      </c>
      <c r="D116" s="263"/>
      <c r="E116" s="263"/>
      <c r="F116" s="121"/>
      <c r="G116" s="121"/>
      <c r="H116" s="87"/>
      <c r="I116" s="264" t="s">
        <v>63</v>
      </c>
    </row>
    <row r="117" spans="1:11" ht="13.2">
      <c r="A117" s="260"/>
      <c r="B117" s="113"/>
      <c r="C117" s="124">
        <f>E111+3</f>
        <v>3</v>
      </c>
      <c r="D117" s="124">
        <f>D111+9</f>
        <v>9</v>
      </c>
      <c r="E117" s="124">
        <f>E111+3</f>
        <v>3</v>
      </c>
      <c r="F117" s="110"/>
      <c r="G117" s="110"/>
      <c r="H117" s="90"/>
      <c r="I117" s="264"/>
    </row>
    <row r="118" spans="1:11" ht="13.2">
      <c r="A118" s="260"/>
      <c r="B118" s="115"/>
      <c r="C118" s="124">
        <f>E111+4</f>
        <v>4</v>
      </c>
      <c r="D118" s="124">
        <f>D111+12</f>
        <v>12</v>
      </c>
      <c r="E118" s="124">
        <f>E111+4</f>
        <v>4</v>
      </c>
      <c r="F118" s="110"/>
      <c r="G118" s="110"/>
      <c r="H118" s="90"/>
      <c r="I118" s="99">
        <v>500</v>
      </c>
    </row>
    <row r="119" spans="1:11" ht="13.2">
      <c r="A119" s="260"/>
      <c r="C119" s="124">
        <f>E111+5</f>
        <v>5</v>
      </c>
      <c r="D119" s="124">
        <f>D111+15</f>
        <v>15</v>
      </c>
      <c r="E119" s="124">
        <f>E111+5</f>
        <v>5</v>
      </c>
    </row>
    <row r="120" spans="1:11" ht="13.2">
      <c r="A120" s="260"/>
      <c r="C120" s="124">
        <f>E111+7</f>
        <v>7</v>
      </c>
      <c r="D120" s="124">
        <f>D111+20</f>
        <v>20</v>
      </c>
      <c r="E120" s="124">
        <f>E111+7</f>
        <v>7</v>
      </c>
    </row>
  </sheetData>
  <mergeCells count="51">
    <mergeCell ref="M1:N1"/>
    <mergeCell ref="A2:A12"/>
    <mergeCell ref="F2:G2"/>
    <mergeCell ref="J2:K2"/>
    <mergeCell ref="C8:E8"/>
    <mergeCell ref="I8:I9"/>
    <mergeCell ref="A14:A24"/>
    <mergeCell ref="F14:G14"/>
    <mergeCell ref="J14:K14"/>
    <mergeCell ref="C20:E20"/>
    <mergeCell ref="I20:I21"/>
    <mergeCell ref="A26:A36"/>
    <mergeCell ref="F26:G26"/>
    <mergeCell ref="J26:K26"/>
    <mergeCell ref="C32:E32"/>
    <mergeCell ref="I32:I33"/>
    <mergeCell ref="A38:A48"/>
    <mergeCell ref="F38:G38"/>
    <mergeCell ref="J38:K38"/>
    <mergeCell ref="C44:E44"/>
    <mergeCell ref="I44:I45"/>
    <mergeCell ref="A50:A60"/>
    <mergeCell ref="F50:G50"/>
    <mergeCell ref="J50:K50"/>
    <mergeCell ref="C56:E56"/>
    <mergeCell ref="I56:I57"/>
    <mergeCell ref="A62:A72"/>
    <mergeCell ref="F62:G62"/>
    <mergeCell ref="J62:K62"/>
    <mergeCell ref="C68:E68"/>
    <mergeCell ref="I68:I69"/>
    <mergeCell ref="A74:A84"/>
    <mergeCell ref="F74:G74"/>
    <mergeCell ref="J74:K74"/>
    <mergeCell ref="C80:E80"/>
    <mergeCell ref="I80:I81"/>
    <mergeCell ref="A86:A96"/>
    <mergeCell ref="F86:G86"/>
    <mergeCell ref="J86:K86"/>
    <mergeCell ref="C92:E92"/>
    <mergeCell ref="I92:I93"/>
    <mergeCell ref="A98:A108"/>
    <mergeCell ref="F98:G98"/>
    <mergeCell ref="J98:K98"/>
    <mergeCell ref="C104:E104"/>
    <mergeCell ref="I104:I105"/>
    <mergeCell ref="A110:A120"/>
    <mergeCell ref="F110:G110"/>
    <mergeCell ref="J110:K110"/>
    <mergeCell ref="C116:E116"/>
    <mergeCell ref="I116:I117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C000"/>
    <pageSetUpPr fitToPage="1"/>
  </sheetPr>
  <dimension ref="A1:S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9" ht="12.9" customHeight="1">
      <c r="L1" s="265" t="s">
        <v>65</v>
      </c>
      <c r="O1" s="266" t="s">
        <v>73</v>
      </c>
      <c r="P1" s="266"/>
      <c r="Q1" s="108" t="s">
        <v>74</v>
      </c>
      <c r="R1" s="108"/>
      <c r="S1" s="108"/>
    </row>
    <row r="2" spans="1:19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O2" s="109" t="s">
        <v>76</v>
      </c>
      <c r="P2" s="88">
        <v>2</v>
      </c>
      <c r="Q2" s="109">
        <v>30</v>
      </c>
      <c r="R2" s="109"/>
      <c r="S2" s="109"/>
    </row>
    <row r="3" spans="1:19" ht="13.2">
      <c r="A3" s="260"/>
      <c r="B3" s="118">
        <f>VLOOKUP(Kalk!K4,$O$2:$P$8,2,0)</f>
        <v>7</v>
      </c>
      <c r="C3" s="85">
        <f>Kalk!C4</f>
        <v>0</v>
      </c>
      <c r="D3" s="85">
        <f>Kalk!E4</f>
        <v>0</v>
      </c>
      <c r="E3" s="85">
        <f>Kalk!G4</f>
        <v>0</v>
      </c>
      <c r="F3" s="87">
        <f ca="1">IF(((($C$3+$D$3)*2+47)&lt;=2900)*AND($L$3=1),($C$3+$D$3)*2+47,IF(((($C$3+$D$3)*2+47)&gt;=2855),2*F9,($C$3+$D$3)*2+47))</f>
        <v>47</v>
      </c>
      <c r="G3" s="87">
        <f>E3</f>
        <v>0</v>
      </c>
      <c r="H3" s="90">
        <f ca="1">(F3*G3)/1000000</f>
        <v>0</v>
      </c>
      <c r="I3" s="91" t="e">
        <f ca="1">I10/H3</f>
        <v>#DIV/0!</v>
      </c>
      <c r="J3" s="92">
        <f>C3+D3+20</f>
        <v>20</v>
      </c>
      <c r="K3" s="92">
        <f>E3</f>
        <v>0</v>
      </c>
      <c r="L3" s="88">
        <f ca="1">TEXO!G8</f>
        <v>0</v>
      </c>
      <c r="M3">
        <f ca="1">IF(((($C$3+$D$3)*2+47)&lt;=2900)*AND($L$3=1),($C$3+$D$3)*2+47,IF(((($C$3+$D$3)*2+47)&gt;=2855),2*F9,($C$3+$D$3)*2+47))</f>
        <v>47</v>
      </c>
      <c r="O3" s="109" t="s">
        <v>77</v>
      </c>
      <c r="P3" s="110">
        <v>3</v>
      </c>
      <c r="Q3" s="109">
        <v>35</v>
      </c>
      <c r="R3" s="109"/>
      <c r="S3" s="109"/>
    </row>
    <row r="4" spans="1:19" ht="13.2">
      <c r="A4" s="260"/>
      <c r="B4" s="89"/>
      <c r="C4" s="6"/>
      <c r="D4" s="6"/>
      <c r="E4" s="6"/>
      <c r="F4" s="87">
        <f ca="1">IF(((($C$3+$D$3)*2+51)&lt;=2900)*AND($L$3=1),($C$3+$D$3)*2+51,IF(((($C$3+$D$3)*2+51)&gt;=2855),2*F10,($C$3+$D$3)*2+51))</f>
        <v>51</v>
      </c>
      <c r="G4" s="87">
        <f>E3</f>
        <v>0</v>
      </c>
      <c r="H4" s="93">
        <f ca="1">F4*G4/1000000</f>
        <v>0</v>
      </c>
      <c r="I4" s="91" t="e">
        <f ca="1">I10/H4</f>
        <v>#DIV/0!</v>
      </c>
      <c r="J4" s="92">
        <f>C3+D3+20</f>
        <v>20</v>
      </c>
      <c r="K4" s="92">
        <f>E3</f>
        <v>0</v>
      </c>
      <c r="L4" s="105"/>
      <c r="M4">
        <f ca="1">IF(((($C$3+$D$3)*2+51)&lt;=2900)*AND($L$3=1),($C$3+$D$3)*2+51,IF(((($C$3+$D$3)*2+51)&gt;=2855),2*F10,($C$3+$D$3)*2+51))</f>
        <v>51</v>
      </c>
      <c r="O4" s="111" t="s">
        <v>78</v>
      </c>
      <c r="P4" s="112">
        <v>4</v>
      </c>
      <c r="Q4" s="109">
        <v>35</v>
      </c>
      <c r="R4" s="109"/>
      <c r="S4" s="109"/>
    </row>
    <row r="5" spans="1:19" ht="13.2">
      <c r="A5" s="260"/>
      <c r="B5" s="89"/>
      <c r="C5" s="6"/>
      <c r="D5" s="6"/>
      <c r="E5" s="6"/>
      <c r="F5" s="87">
        <f ca="1">IF(((($C$3+$D$3)*2+55)&lt;=2900)*AND($L$3=1),($C$3+$D$3)*2+55,IF(((($C$3+$D$3)*2+55)&gt;=2855),2*F11,($C$3+$D$3)*2+55))</f>
        <v>55</v>
      </c>
      <c r="G5" s="87">
        <f>E3</f>
        <v>0</v>
      </c>
      <c r="H5" s="93">
        <f ca="1">F5*G5/1000000</f>
        <v>0</v>
      </c>
      <c r="I5" s="91" t="e">
        <f ca="1">I10/H5</f>
        <v>#DIV/0!</v>
      </c>
      <c r="J5" s="92">
        <f>C3+D3+40</f>
        <v>40</v>
      </c>
      <c r="K5" s="92">
        <f>E3</f>
        <v>0</v>
      </c>
      <c r="M5">
        <f ca="1">IF(((($C$3+$D$3)*2+55)&lt;=2900)*AND($L$3=1),($C$3+$D$3)*2+55,IF(((($C$3+$D$3)*2+55)&gt;=2855),2*F11,($C$3+$D$3)*2+55))</f>
        <v>55</v>
      </c>
      <c r="O5" s="113" t="s">
        <v>79</v>
      </c>
      <c r="P5" s="114">
        <v>5</v>
      </c>
      <c r="Q5" s="109">
        <v>40</v>
      </c>
      <c r="R5" s="109"/>
      <c r="S5" s="109"/>
    </row>
    <row r="6" spans="1:19" ht="13.2">
      <c r="A6" s="260"/>
      <c r="B6" s="89"/>
      <c r="C6" s="6"/>
      <c r="D6" s="6"/>
      <c r="E6" s="6"/>
      <c r="F6" s="87">
        <f ca="1">IF(((($C$3+$D$3)*2+63)&lt;=2900)*AND($L$3=1),($C$3+$D$3)*2+63,IF(((($C$3+$D$3)*2+63)&gt;=2855),2*F12,($C$3+$D$3)*2+63))</f>
        <v>63</v>
      </c>
      <c r="G6" s="87">
        <f>E3</f>
        <v>0</v>
      </c>
      <c r="H6" s="93">
        <f ca="1">F6*G6/1000000</f>
        <v>0</v>
      </c>
      <c r="I6" s="91" t="e">
        <f ca="1">I10/H6</f>
        <v>#DIV/0!</v>
      </c>
      <c r="J6" s="92">
        <f>C3+D3+40</f>
        <v>40</v>
      </c>
      <c r="K6" s="92">
        <f>E3</f>
        <v>0</v>
      </c>
      <c r="L6" s="6"/>
      <c r="M6">
        <f ca="1">IF(((($C$3+$D$3)*2+63)&lt;=2900)*AND($L$3=1),($C$3+$D$3)*2+63,IF(((($C$3+$D$3)*2+63)&gt;=2855),2*F12,($C$3+$D$3)*2+63))</f>
        <v>63</v>
      </c>
      <c r="O6" s="115" t="s">
        <v>80</v>
      </c>
      <c r="P6" s="114">
        <v>7</v>
      </c>
      <c r="Q6" s="109">
        <v>40</v>
      </c>
      <c r="R6" s="109"/>
      <c r="S6" s="109"/>
    </row>
    <row r="7" spans="1:19" ht="13.2">
      <c r="A7" s="260"/>
      <c r="B7" s="89"/>
      <c r="C7" s="110"/>
      <c r="D7" s="117"/>
      <c r="E7" t="s">
        <v>35</v>
      </c>
      <c r="O7" s="113"/>
      <c r="P7" s="114"/>
      <c r="Q7" s="109"/>
      <c r="R7" s="109"/>
      <c r="S7" s="109"/>
    </row>
    <row r="8" spans="1:19" ht="25.8">
      <c r="A8" s="260"/>
      <c r="B8" s="111"/>
      <c r="C8" s="112"/>
      <c r="D8" s="120"/>
      <c r="F8" s="261" t="s">
        <v>58</v>
      </c>
      <c r="G8" s="261"/>
      <c r="H8" s="87" t="s">
        <v>59</v>
      </c>
      <c r="I8" s="95" t="s">
        <v>63</v>
      </c>
      <c r="O8" s="115"/>
      <c r="P8" s="114"/>
      <c r="Q8" s="109"/>
      <c r="R8" s="109"/>
      <c r="S8" s="109"/>
    </row>
    <row r="9" spans="1:19" ht="13.2">
      <c r="A9" s="260"/>
      <c r="B9" s="108" t="s">
        <v>87</v>
      </c>
      <c r="C9" s="116"/>
      <c r="D9" s="116" t="s">
        <v>88</v>
      </c>
      <c r="E9" s="89" t="s">
        <v>72</v>
      </c>
      <c r="F9" s="87">
        <f>C3+D3+51</f>
        <v>51</v>
      </c>
      <c r="G9" s="87">
        <f>E3</f>
        <v>0</v>
      </c>
      <c r="H9" s="90">
        <f>((F9*G9)/1000000)*2</f>
        <v>0</v>
      </c>
      <c r="I9" s="100"/>
    </row>
    <row r="10" spans="1:19" ht="13.2">
      <c r="A10" s="260"/>
      <c r="B10" s="118">
        <f>VLOOKUP(Kalk!K4,$O$2:$S$8,3,0)</f>
        <v>40</v>
      </c>
      <c r="C10" s="118">
        <f>VLOOKUP(Kalk!K4,$O$2:$S$8,4,0)</f>
        <v>0</v>
      </c>
      <c r="D10" s="118">
        <f>VLOOKUP(Kalk!K4,$O$2:$S$8,5,0)</f>
        <v>0</v>
      </c>
      <c r="E10" s="89" t="s">
        <v>72</v>
      </c>
      <c r="F10" s="87">
        <f>C3+D3+53</f>
        <v>53</v>
      </c>
      <c r="G10" s="87">
        <f>E3</f>
        <v>0</v>
      </c>
      <c r="H10" s="90">
        <f>(F10*G10/1000000)*2</f>
        <v>0</v>
      </c>
      <c r="I10" s="99">
        <v>500</v>
      </c>
    </row>
    <row r="11" spans="1:19" ht="13.2">
      <c r="A11" s="260"/>
      <c r="B11" s="120"/>
      <c r="C11" s="120"/>
      <c r="D11" s="120"/>
      <c r="E11" s="125" t="s">
        <v>72</v>
      </c>
      <c r="F11" s="87">
        <f>C3+D3+55</f>
        <v>55</v>
      </c>
      <c r="G11" s="87">
        <f>E3</f>
        <v>0</v>
      </c>
      <c r="H11" s="90">
        <f>(F11*G11/1000000)*2</f>
        <v>0</v>
      </c>
      <c r="I11" s="87"/>
    </row>
    <row r="12" spans="1:19" ht="13.2">
      <c r="A12" s="260"/>
      <c r="B12" s="120"/>
      <c r="C12" s="120"/>
      <c r="D12" s="120"/>
      <c r="E12" s="125" t="s">
        <v>72</v>
      </c>
      <c r="F12" s="87">
        <f>C3+D3+59</f>
        <v>59</v>
      </c>
      <c r="G12" s="87">
        <f>E3</f>
        <v>0</v>
      </c>
      <c r="H12" s="90">
        <f>(F12*G12/1000000)*2</f>
        <v>0</v>
      </c>
      <c r="I12" s="87"/>
    </row>
    <row r="13" spans="1:19" ht="12.9" customHeight="1">
      <c r="L13" s="265" t="s">
        <v>65</v>
      </c>
    </row>
    <row r="14" spans="1:19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265"/>
    </row>
    <row r="15" spans="1:19" ht="13.2">
      <c r="A15" s="260"/>
      <c r="B15" s="118">
        <f>VLOOKUP(Kalk!K8,$O$2:$P$8,2,0)</f>
        <v>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IF(((($C$3+$D$3)*2+47)&lt;=2900)*AND($L$3=1),($C$3+$D$3)*2+47,IF(((($C$3+$D$3)*2+47)&gt;=2855),2*F21,($C$3+$D$3)*2+47))</f>
        <v>47</v>
      </c>
      <c r="G15" s="87">
        <f>E15</f>
        <v>0</v>
      </c>
      <c r="H15" s="90">
        <f ca="1">(F15*G15)/1000000</f>
        <v>0</v>
      </c>
      <c r="I15" s="91" t="e">
        <f ca="1">I22/H15</f>
        <v>#DIV/0!</v>
      </c>
      <c r="J15" s="92">
        <f>C15+D15+20</f>
        <v>20</v>
      </c>
      <c r="K15" s="92">
        <f>E15</f>
        <v>0</v>
      </c>
      <c r="L15" s="88">
        <f ca="1">TEXO!G17</f>
        <v>0</v>
      </c>
      <c r="M15">
        <f ca="1">IF(((($C$3+$D$3)*2+47)&lt;=2900)*AND($L$3=1),($C$3+$D$3)*2+47,IF(((($C$3+$D$3)*2+47)&gt;=2855),2*F21,($C$3+$D$3)*2+47))</f>
        <v>47</v>
      </c>
    </row>
    <row r="16" spans="1:19" ht="13.2">
      <c r="A16" s="260"/>
      <c r="B16" s="89"/>
      <c r="C16" s="6"/>
      <c r="D16" s="6"/>
      <c r="E16" s="6"/>
      <c r="F16" s="87">
        <f ca="1">IF(((($C$3+$D$3)*2+51)&lt;=2900)*AND($L$3=1),($C$3+$D$3)*2+51,IF(((($C$3+$D$3)*2+51)&gt;=2855),2*F22,($C$3+$D$3)*2+51))</f>
        <v>51</v>
      </c>
      <c r="G16" s="87">
        <f>E15</f>
        <v>0</v>
      </c>
      <c r="H16" s="93">
        <f ca="1">F16*G16/1000000</f>
        <v>0</v>
      </c>
      <c r="I16" s="91" t="e">
        <f ca="1">I22/H16</f>
        <v>#DIV/0!</v>
      </c>
      <c r="J16" s="92">
        <f>C15+D15+20</f>
        <v>20</v>
      </c>
      <c r="K16" s="92">
        <f>E15</f>
        <v>0</v>
      </c>
      <c r="M16">
        <f ca="1">IF(((($C$3+$D$3)*2+51)&lt;=2900)*AND($L$3=1),($C$3+$D$3)*2+51,IF(((($C$3+$D$3)*2+51)&gt;=2855),2*F22,($C$3+$D$3)*2+51))</f>
        <v>51</v>
      </c>
    </row>
    <row r="17" spans="1:13" ht="13.2">
      <c r="A17" s="260"/>
      <c r="B17" s="89"/>
      <c r="C17" s="6"/>
      <c r="D17" s="6"/>
      <c r="E17" s="6"/>
      <c r="F17" s="87">
        <f ca="1">IF(((($C$3+$D$3)*2+55)&lt;=2900)*AND($L$3=1),($C$3+$D$3)*2+55,IF(((($C$3+$D$3)*2+55)&gt;=2855),2*F23,($C$3+$D$3)*2+55))</f>
        <v>55</v>
      </c>
      <c r="G17" s="87">
        <f>E15</f>
        <v>0</v>
      </c>
      <c r="H17" s="93">
        <f ca="1">F17*G17/1000000</f>
        <v>0</v>
      </c>
      <c r="I17" s="91" t="e">
        <f ca="1">I22/H17</f>
        <v>#DIV/0!</v>
      </c>
      <c r="J17" s="92">
        <f>C15+D15+40</f>
        <v>40</v>
      </c>
      <c r="K17" s="92">
        <f>E15</f>
        <v>0</v>
      </c>
      <c r="M17">
        <f ca="1">IF(((($C$3+$D$3)*2+55)&lt;=2900)*AND($L$3=1),($C$3+$D$3)*2+55,IF(((($C$3+$D$3)*2+55)&gt;=2855),2*F23,($C$3+$D$3)*2+55))</f>
        <v>55</v>
      </c>
    </row>
    <row r="18" spans="1:13" ht="13.2">
      <c r="A18" s="260"/>
      <c r="B18" s="89"/>
      <c r="C18" s="6"/>
      <c r="D18" s="6"/>
      <c r="E18" s="6"/>
      <c r="F18" s="87">
        <f ca="1">IF(((($C$3+$D$3)*2+63)&lt;=2900)*AND($L$3=1),($C$3+$D$3)*2+63,IF(((($C$3+$D$3)*2+63)&gt;=2855),2*F24,($C$3+$D$3)*2+63))</f>
        <v>63</v>
      </c>
      <c r="G18" s="87">
        <f>E15</f>
        <v>0</v>
      </c>
      <c r="H18" s="93">
        <f ca="1">F18*G18/1000000</f>
        <v>0</v>
      </c>
      <c r="I18" s="91" t="e">
        <f ca="1">I22/H18</f>
        <v>#DIV/0!</v>
      </c>
      <c r="J18" s="92">
        <f>C15+D15+40</f>
        <v>40</v>
      </c>
      <c r="K18" s="92">
        <f>E15</f>
        <v>0</v>
      </c>
      <c r="M18">
        <f ca="1">IF(((($C$3+$D$3)*2+63)&lt;=2900)*AND($L$3=1),($C$3+$D$3)*2+63,IF(((($C$3+$D$3)*2+63)&gt;=2855),2*F24,($C$3+$D$3)*2+63))</f>
        <v>63</v>
      </c>
    </row>
    <row r="19" spans="1:13" ht="13.2">
      <c r="A19" s="260"/>
      <c r="B19" s="89"/>
      <c r="C19" s="110"/>
      <c r="D19" s="117"/>
      <c r="E19" t="s">
        <v>35</v>
      </c>
    </row>
    <row r="20" spans="1:13" ht="25.8">
      <c r="A20" s="260"/>
      <c r="B20" s="111"/>
      <c r="C20" s="112"/>
      <c r="D20" s="120"/>
      <c r="F20" s="261" t="s">
        <v>58</v>
      </c>
      <c r="G20" s="261"/>
      <c r="H20" s="87" t="s">
        <v>59</v>
      </c>
      <c r="I20" s="95" t="s">
        <v>63</v>
      </c>
    </row>
    <row r="21" spans="1:13" ht="13.2">
      <c r="A21" s="260"/>
      <c r="B21" s="108" t="s">
        <v>87</v>
      </c>
      <c r="C21" s="116"/>
      <c r="D21" s="116" t="s">
        <v>88</v>
      </c>
      <c r="E21" s="89" t="s">
        <v>72</v>
      </c>
      <c r="F21" s="87">
        <f>C15+D15+51</f>
        <v>51</v>
      </c>
      <c r="G21" s="87">
        <f>E15</f>
        <v>0</v>
      </c>
      <c r="H21" s="90">
        <f>((F21*G21)/1000000)*2</f>
        <v>0</v>
      </c>
      <c r="I21" s="100"/>
    </row>
    <row r="22" spans="1:13" ht="13.2">
      <c r="A22" s="260"/>
      <c r="B22" s="118">
        <f>VLOOKUP(Kalk!K8,$O$2:$S$8,3,0)</f>
        <v>40</v>
      </c>
      <c r="C22" s="118">
        <f>VLOOKUP(Kalk!K8,$O$2:$S$8,4,0)</f>
        <v>0</v>
      </c>
      <c r="D22" s="118">
        <f>VLOOKUP(Kalk!K8,$O$2:$S$8,5,0)</f>
        <v>0</v>
      </c>
      <c r="E22" s="89" t="s">
        <v>72</v>
      </c>
      <c r="F22" s="87">
        <f>C15+D15+53</f>
        <v>53</v>
      </c>
      <c r="G22" s="87">
        <f>E15</f>
        <v>0</v>
      </c>
      <c r="H22" s="90">
        <f>(F22*G22/1000000)*2</f>
        <v>0</v>
      </c>
      <c r="I22" s="99">
        <v>500</v>
      </c>
    </row>
    <row r="23" spans="1:13" ht="13.2">
      <c r="A23" s="260"/>
      <c r="B23" s="120"/>
      <c r="C23" s="120"/>
      <c r="D23" s="120"/>
      <c r="E23" s="125" t="s">
        <v>72</v>
      </c>
      <c r="F23" s="87">
        <f>C15+D15+55</f>
        <v>55</v>
      </c>
      <c r="G23" s="87">
        <f>E15</f>
        <v>0</v>
      </c>
      <c r="H23" s="90">
        <f>(F23*G23/1000000)*2</f>
        <v>0</v>
      </c>
      <c r="I23" s="87"/>
    </row>
    <row r="24" spans="1:13" ht="13.2">
      <c r="A24" s="260"/>
      <c r="B24" s="120"/>
      <c r="C24" s="120"/>
      <c r="D24" s="120"/>
      <c r="E24" s="125" t="s">
        <v>72</v>
      </c>
      <c r="F24" s="87">
        <f>C15+D15+59</f>
        <v>59</v>
      </c>
      <c r="G24" s="87">
        <f>E15</f>
        <v>0</v>
      </c>
      <c r="H24" s="90">
        <f>(F24*G24/1000000)*2</f>
        <v>0</v>
      </c>
      <c r="I24" s="87"/>
    </row>
    <row r="25" spans="1:13" ht="12.9" customHeight="1">
      <c r="L25" s="265" t="s">
        <v>65</v>
      </c>
    </row>
    <row r="26" spans="1:13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265"/>
    </row>
    <row r="27" spans="1:13" ht="13.2">
      <c r="A27" s="260"/>
      <c r="B27" s="118">
        <f>VLOOKUP(Kalk!K12,$O$2:$P$8,2,0)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IF(((($C$3+$D$3)*2+47)&lt;=2900)*AND($L$3=1),($C$3+$D$3)*2+47,IF(((($C$3+$D$3)*2+47)&gt;=2855),2*F33,($C$3+$D$3)*2+47))</f>
        <v>47</v>
      </c>
      <c r="G27" s="87">
        <f>E27</f>
        <v>0</v>
      </c>
      <c r="H27" s="90">
        <f ca="1">(F27*G27)/1000000</f>
        <v>0</v>
      </c>
      <c r="I27" s="91" t="e">
        <f ca="1">I34/H27</f>
        <v>#DIV/0!</v>
      </c>
      <c r="J27" s="92">
        <f>C27+D27+20</f>
        <v>20</v>
      </c>
      <c r="K27" s="92">
        <f>E27</f>
        <v>0</v>
      </c>
      <c r="L27" s="88">
        <f ca="1">TEXO!G26</f>
        <v>0</v>
      </c>
    </row>
    <row r="28" spans="1:13" ht="13.2">
      <c r="A28" s="260"/>
      <c r="B28" s="89"/>
      <c r="C28" s="6"/>
      <c r="D28" s="6"/>
      <c r="E28" s="6"/>
      <c r="F28" s="87">
        <f ca="1">IF(((($C$3+$D$3)*2+51)&lt;=2900)*AND($L$3=1),($C$3+$D$3)*2+51,IF(((($C$3+$D$3)*2+51)&gt;=2855),2*F34,($C$3+$D$3)*2+51))</f>
        <v>51</v>
      </c>
      <c r="G28" s="87">
        <f>E27</f>
        <v>0</v>
      </c>
      <c r="H28" s="93">
        <f ca="1">F28*G28/1000000</f>
        <v>0</v>
      </c>
      <c r="I28" s="91" t="e">
        <f ca="1">I34/H28</f>
        <v>#DIV/0!</v>
      </c>
      <c r="J28" s="92">
        <f>C27+D27+20</f>
        <v>20</v>
      </c>
      <c r="K28" s="92">
        <f>E27</f>
        <v>0</v>
      </c>
    </row>
    <row r="29" spans="1:13" ht="13.2">
      <c r="A29" s="260"/>
      <c r="B29" s="89"/>
      <c r="C29" s="6"/>
      <c r="D29" s="6"/>
      <c r="E29" s="6"/>
      <c r="F29" s="87">
        <f ca="1">IF(((($C$3+$D$3)*2+55)&lt;=2900)*AND($L$3=1),($C$3+$D$3)*2+55,IF(((($C$3+$D$3)*2+55)&gt;=2855),2*F35,($C$3+$D$3)*2+55))</f>
        <v>55</v>
      </c>
      <c r="G29" s="87">
        <f>E27</f>
        <v>0</v>
      </c>
      <c r="H29" s="93">
        <f ca="1">F29*G29/1000000</f>
        <v>0</v>
      </c>
      <c r="I29" s="91" t="e">
        <f ca="1">I34/H29</f>
        <v>#DIV/0!</v>
      </c>
      <c r="J29" s="92">
        <f>C27+D27+40</f>
        <v>40</v>
      </c>
      <c r="K29" s="92">
        <f>E27</f>
        <v>0</v>
      </c>
    </row>
    <row r="30" spans="1:13" ht="13.2">
      <c r="A30" s="260"/>
      <c r="B30" s="89"/>
      <c r="C30" s="6"/>
      <c r="D30" s="6"/>
      <c r="E30" s="6"/>
      <c r="F30" s="87">
        <f ca="1">IF(((($C$3+$D$3)*2+63)&lt;=2900)*AND($L$3=1),($C$3+$D$3)*2+63,IF(((($C$3+$D$3)*2+63)&gt;=2855),2*F36,($C$3+$D$3)*2+63))</f>
        <v>63</v>
      </c>
      <c r="G30" s="87">
        <f>E27</f>
        <v>0</v>
      </c>
      <c r="H30" s="93">
        <f ca="1">F30*G30/1000000</f>
        <v>0</v>
      </c>
      <c r="I30" s="91" t="e">
        <f ca="1">I34/H30</f>
        <v>#DIV/0!</v>
      </c>
      <c r="J30" s="92">
        <f>C27+D27+40</f>
        <v>40</v>
      </c>
      <c r="K30" s="92">
        <f>E27</f>
        <v>0</v>
      </c>
    </row>
    <row r="31" spans="1:13" ht="13.2">
      <c r="A31" s="260"/>
      <c r="B31" s="89"/>
      <c r="C31" s="110"/>
      <c r="D31" s="117"/>
      <c r="E31" t="s">
        <v>35</v>
      </c>
    </row>
    <row r="32" spans="1:13" ht="25.8">
      <c r="A32" s="260"/>
      <c r="B32" s="111"/>
      <c r="C32" s="112"/>
      <c r="D32" s="120"/>
      <c r="F32" s="261" t="s">
        <v>58</v>
      </c>
      <c r="G32" s="261"/>
      <c r="H32" s="87" t="s">
        <v>59</v>
      </c>
      <c r="I32" s="95" t="s">
        <v>63</v>
      </c>
    </row>
    <row r="33" spans="1:12" ht="13.2">
      <c r="A33" s="260"/>
      <c r="B33" s="108" t="s">
        <v>87</v>
      </c>
      <c r="C33" s="116"/>
      <c r="D33" s="116" t="s">
        <v>88</v>
      </c>
      <c r="E33" s="89" t="s">
        <v>72</v>
      </c>
      <c r="F33" s="87">
        <f>C27+D27+51</f>
        <v>51</v>
      </c>
      <c r="G33" s="87">
        <f>E27</f>
        <v>0</v>
      </c>
      <c r="H33" s="90">
        <f>((F33*G33)/1000000)*2</f>
        <v>0</v>
      </c>
      <c r="I33" s="100"/>
    </row>
    <row r="34" spans="1:12" ht="13.2">
      <c r="A34" s="260"/>
      <c r="B34" s="118">
        <f>VLOOKUP(Kalk!K12,$O$2:$S$8,3,0)</f>
        <v>35</v>
      </c>
      <c r="C34" s="118">
        <f>VLOOKUP(Kalk!K12,$O$2:$S$8,4,0)</f>
        <v>0</v>
      </c>
      <c r="D34" s="118">
        <f>VLOOKUP(Kalk!K12,$O$2:$S$8,5,0)</f>
        <v>0</v>
      </c>
      <c r="E34" s="89" t="s">
        <v>72</v>
      </c>
      <c r="F34" s="87">
        <f>C27+D27+53</f>
        <v>53</v>
      </c>
      <c r="G34" s="87">
        <f>E27</f>
        <v>0</v>
      </c>
      <c r="H34" s="90">
        <f>(F34*G34/1000000)*2</f>
        <v>0</v>
      </c>
      <c r="I34" s="99">
        <v>500</v>
      </c>
    </row>
    <row r="35" spans="1:12" ht="13.2">
      <c r="A35" s="260"/>
      <c r="B35" s="120"/>
      <c r="C35" s="120"/>
      <c r="D35" s="120"/>
      <c r="E35" s="125" t="s">
        <v>72</v>
      </c>
      <c r="F35" s="87">
        <f>C27+D27+55</f>
        <v>55</v>
      </c>
      <c r="G35" s="87">
        <f>E27</f>
        <v>0</v>
      </c>
      <c r="H35" s="90">
        <f>(F35*G35/1000000)*2</f>
        <v>0</v>
      </c>
      <c r="I35" s="87"/>
    </row>
    <row r="36" spans="1:12" ht="13.2">
      <c r="A36" s="260"/>
      <c r="B36" s="120"/>
      <c r="C36" s="120"/>
      <c r="D36" s="120"/>
      <c r="E36" s="125" t="s">
        <v>72</v>
      </c>
      <c r="F36" s="87">
        <f>C27+D27+59</f>
        <v>59</v>
      </c>
      <c r="G36" s="87">
        <f>E27</f>
        <v>0</v>
      </c>
      <c r="H36" s="90">
        <f>(F36*G36/1000000)*2</f>
        <v>0</v>
      </c>
      <c r="I36" s="87"/>
    </row>
    <row r="37" spans="1:12" ht="12.9" customHeight="1">
      <c r="L37" s="265" t="s">
        <v>65</v>
      </c>
    </row>
    <row r="38" spans="1:12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265"/>
    </row>
    <row r="39" spans="1:12" ht="13.2">
      <c r="A39" s="260"/>
      <c r="B39" s="118">
        <f>VLOOKUP(Kalk!K16,$O$2:$P$8,2,0)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IF(((($C$3+$D$3)*2+47)&lt;=2900)*AND($L$3=1),($C$3+$D$3)*2+47,IF(((($C$3+$D$3)*2+47)&gt;=2855),2*F45,($C$3+$D$3)*2+47))</f>
        <v>47</v>
      </c>
      <c r="G39" s="87">
        <f>E39</f>
        <v>0</v>
      </c>
      <c r="H39" s="90">
        <f ca="1">(F39*G39)/1000000</f>
        <v>0</v>
      </c>
      <c r="I39" s="91" t="e">
        <f ca="1">I46/H39</f>
        <v>#DIV/0!</v>
      </c>
      <c r="J39" s="92">
        <f>C39+D39+20</f>
        <v>20</v>
      </c>
      <c r="K39" s="92">
        <f>E39</f>
        <v>0</v>
      </c>
      <c r="L39" s="88">
        <f ca="1">TEXO!G35</f>
        <v>0</v>
      </c>
    </row>
    <row r="40" spans="1:12" ht="13.2">
      <c r="A40" s="260"/>
      <c r="B40" s="89"/>
      <c r="C40" s="6"/>
      <c r="D40" s="6"/>
      <c r="E40" s="6"/>
      <c r="F40" s="87">
        <f ca="1">IF(((($C$3+$D$3)*2+51)&lt;=2900)*AND($L$3=1),($C$3+$D$3)*2+51,IF(((($C$3+$D$3)*2+51)&gt;=2855),2*F46,($C$3+$D$3)*2+51))</f>
        <v>51</v>
      </c>
      <c r="G40" s="87">
        <f>E39</f>
        <v>0</v>
      </c>
      <c r="H40" s="93">
        <f ca="1">F40*G40/1000000</f>
        <v>0</v>
      </c>
      <c r="I40" s="91" t="e">
        <f ca="1">I46/H40</f>
        <v>#DIV/0!</v>
      </c>
      <c r="J40" s="92">
        <f>C39+D39+20</f>
        <v>20</v>
      </c>
      <c r="K40" s="92">
        <f>E39</f>
        <v>0</v>
      </c>
    </row>
    <row r="41" spans="1:12" ht="13.2">
      <c r="A41" s="260"/>
      <c r="B41" s="89"/>
      <c r="C41" s="6"/>
      <c r="D41" s="6"/>
      <c r="E41" s="6"/>
      <c r="F41" s="87">
        <f ca="1">IF(((($C$3+$D$3)*2+55)&lt;=2900)*AND($L$3=1),($C$3+$D$3)*2+55,IF(((($C$3+$D$3)*2+55)&gt;=2855),2*F47,($C$3+$D$3)*2+55))</f>
        <v>55</v>
      </c>
      <c r="G41" s="87">
        <f>E39</f>
        <v>0</v>
      </c>
      <c r="H41" s="93">
        <f ca="1">F41*G41/1000000</f>
        <v>0</v>
      </c>
      <c r="I41" s="91" t="e">
        <f ca="1">I46/H41</f>
        <v>#DIV/0!</v>
      </c>
      <c r="J41" s="92">
        <f>C39+D39+40</f>
        <v>40</v>
      </c>
      <c r="K41" s="92">
        <f>E39</f>
        <v>0</v>
      </c>
    </row>
    <row r="42" spans="1:12" ht="13.2">
      <c r="A42" s="260"/>
      <c r="B42" s="89"/>
      <c r="C42" s="6"/>
      <c r="D42" s="6"/>
      <c r="E42" s="6"/>
      <c r="F42" s="87">
        <f ca="1">IF(((($C$3+$D$3)*2+63)&lt;=2900)*AND($L$3=1),($C$3+$D$3)*2+63,IF(((($C$3+$D$3)*2+63)&gt;=2855),2*F48,($C$3+$D$3)*2+63))</f>
        <v>63</v>
      </c>
      <c r="G42" s="87">
        <f>E39</f>
        <v>0</v>
      </c>
      <c r="H42" s="93">
        <f ca="1">F42*G42/1000000</f>
        <v>0</v>
      </c>
      <c r="I42" s="91" t="e">
        <f ca="1">I46/H42</f>
        <v>#DIV/0!</v>
      </c>
      <c r="J42" s="92">
        <f>C39+D39+40</f>
        <v>40</v>
      </c>
      <c r="K42" s="92">
        <f>E39</f>
        <v>0</v>
      </c>
    </row>
    <row r="43" spans="1:12" ht="13.2">
      <c r="A43" s="260"/>
      <c r="B43" s="89"/>
      <c r="C43" s="110"/>
      <c r="D43" s="117"/>
      <c r="E43" t="s">
        <v>35</v>
      </c>
    </row>
    <row r="44" spans="1:12" ht="25.8">
      <c r="A44" s="260"/>
      <c r="B44" s="111"/>
      <c r="C44" s="112"/>
      <c r="D44" s="120"/>
      <c r="F44" s="261" t="s">
        <v>58</v>
      </c>
      <c r="G44" s="261"/>
      <c r="H44" s="87" t="s">
        <v>59</v>
      </c>
      <c r="I44" s="95" t="s">
        <v>63</v>
      </c>
    </row>
    <row r="45" spans="1:12" ht="13.2">
      <c r="A45" s="260"/>
      <c r="B45" s="108" t="s">
        <v>87</v>
      </c>
      <c r="C45" s="116"/>
      <c r="D45" s="116" t="s">
        <v>88</v>
      </c>
      <c r="E45" s="89" t="s">
        <v>72</v>
      </c>
      <c r="F45" s="87">
        <f>C39+D39+51</f>
        <v>51</v>
      </c>
      <c r="G45" s="87">
        <f>E39</f>
        <v>0</v>
      </c>
      <c r="H45" s="90">
        <f>((F45*G45)/1000000)*2</f>
        <v>0</v>
      </c>
      <c r="I45" s="100"/>
    </row>
    <row r="46" spans="1:12" ht="13.2">
      <c r="A46" s="260"/>
      <c r="B46" s="118">
        <f>VLOOKUP(Kalk!K16,$O$2:$S$8,3,0)</f>
        <v>35</v>
      </c>
      <c r="C46" s="118">
        <f>VLOOKUP(Kalk!K16,$O$2:$S$8,4,0)</f>
        <v>0</v>
      </c>
      <c r="D46" s="118">
        <f>VLOOKUP(Kalk!K16,$O$2:$S$8,5,0)</f>
        <v>0</v>
      </c>
      <c r="E46" s="89" t="s">
        <v>72</v>
      </c>
      <c r="F46" s="87">
        <f>C39+D39+53</f>
        <v>53</v>
      </c>
      <c r="G46" s="87">
        <f>E39</f>
        <v>0</v>
      </c>
      <c r="H46" s="90">
        <f>(F46*G46/1000000)*2</f>
        <v>0</v>
      </c>
      <c r="I46" s="99">
        <v>500</v>
      </c>
    </row>
    <row r="47" spans="1:12" ht="13.2">
      <c r="A47" s="260"/>
      <c r="B47" s="120"/>
      <c r="C47" s="120"/>
      <c r="D47" s="120"/>
      <c r="E47" s="125" t="s">
        <v>72</v>
      </c>
      <c r="F47" s="87">
        <f>C39+D39+55</f>
        <v>55</v>
      </c>
      <c r="G47" s="87">
        <f>E39</f>
        <v>0</v>
      </c>
      <c r="H47" s="90">
        <f>(F47*G47/1000000)*2</f>
        <v>0</v>
      </c>
      <c r="I47" s="87"/>
    </row>
    <row r="48" spans="1:12" ht="13.2">
      <c r="A48" s="260"/>
      <c r="B48" s="120"/>
      <c r="C48" s="120"/>
      <c r="D48" s="120"/>
      <c r="E48" s="125" t="s">
        <v>72</v>
      </c>
      <c r="F48" s="87">
        <f>C39+D39+59</f>
        <v>59</v>
      </c>
      <c r="G48" s="87">
        <f>E39</f>
        <v>0</v>
      </c>
      <c r="H48" s="90">
        <f>(F48*G48/1000000)*2</f>
        <v>0</v>
      </c>
      <c r="I48" s="87"/>
    </row>
    <row r="49" spans="1:12" ht="12.9" customHeight="1">
      <c r="L49" s="265" t="s">
        <v>65</v>
      </c>
    </row>
    <row r="50" spans="1:12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265"/>
    </row>
    <row r="51" spans="1:12" ht="13.2">
      <c r="A51" s="260"/>
      <c r="B51" s="118">
        <f>VLOOKUP(Kalk!K20,$O$2:$P$8,2,0)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IF(((($C$3+$D$3)*2+47)&lt;=2900)*AND($L$3=1),($C$3+$D$3)*2+47,IF(((($C$3+$D$3)*2+47)&gt;=2855),2*F57,($C$3+$D$3)*2+47))</f>
        <v>47</v>
      </c>
      <c r="G51" s="87">
        <f>E51</f>
        <v>0</v>
      </c>
      <c r="H51" s="90">
        <f ca="1">(F51*G51)/1000000</f>
        <v>0</v>
      </c>
      <c r="I51" s="91" t="e">
        <f ca="1">I58/H51</f>
        <v>#DIV/0!</v>
      </c>
      <c r="J51" s="92">
        <f>C51+D51+20</f>
        <v>20</v>
      </c>
      <c r="K51" s="92">
        <f>E51</f>
        <v>0</v>
      </c>
      <c r="L51" s="88">
        <f ca="1">TEXO!G44</f>
        <v>0</v>
      </c>
    </row>
    <row r="52" spans="1:12" ht="13.2">
      <c r="A52" s="260"/>
      <c r="B52" s="89"/>
      <c r="C52" s="6"/>
      <c r="D52" s="6"/>
      <c r="E52" s="6"/>
      <c r="F52" s="87">
        <f ca="1">IF(((($C$3+$D$3)*2+51)&lt;=2900)*AND($L$3=1),($C$3+$D$3)*2+51,IF(((($C$3+$D$3)*2+51)&gt;=2855),2*F58,($C$3+$D$3)*2+51))</f>
        <v>51</v>
      </c>
      <c r="G52" s="87">
        <f>E51</f>
        <v>0</v>
      </c>
      <c r="H52" s="93">
        <f ca="1">F52*G52/1000000</f>
        <v>0</v>
      </c>
      <c r="I52" s="91" t="e">
        <f ca="1">I58/H52</f>
        <v>#DIV/0!</v>
      </c>
      <c r="J52" s="92">
        <f>C51+D51+20</f>
        <v>20</v>
      </c>
      <c r="K52" s="92">
        <f>E51</f>
        <v>0</v>
      </c>
    </row>
    <row r="53" spans="1:12" ht="13.2">
      <c r="A53" s="260"/>
      <c r="B53" s="89"/>
      <c r="C53" s="6"/>
      <c r="D53" s="6"/>
      <c r="E53" s="6"/>
      <c r="F53" s="87">
        <f ca="1">IF(((($C$3+$D$3)*2+55)&lt;=2900)*AND($L$3=1),($C$3+$D$3)*2+55,IF(((($C$3+$D$3)*2+55)&gt;=2855),2*F59,($C$3+$D$3)*2+55))</f>
        <v>55</v>
      </c>
      <c r="G53" s="87">
        <f>E51</f>
        <v>0</v>
      </c>
      <c r="H53" s="93">
        <f ca="1">F53*G53/1000000</f>
        <v>0</v>
      </c>
      <c r="I53" s="91" t="e">
        <f ca="1">I58/H53</f>
        <v>#DIV/0!</v>
      </c>
      <c r="J53" s="92">
        <f>C51+D51+40</f>
        <v>40</v>
      </c>
      <c r="K53" s="92">
        <f>E51</f>
        <v>0</v>
      </c>
    </row>
    <row r="54" spans="1:12" ht="13.2">
      <c r="A54" s="260"/>
      <c r="B54" s="89"/>
      <c r="C54" s="6"/>
      <c r="D54" s="6"/>
      <c r="E54" s="6"/>
      <c r="F54" s="87">
        <f ca="1">IF(((($C$3+$D$3)*2+63)&lt;=2900)*AND($L$3=1),($C$3+$D$3)*2+63,IF(((($C$3+$D$3)*2+63)&gt;=2855),2*F60,($C$3+$D$3)*2+63))</f>
        <v>63</v>
      </c>
      <c r="G54" s="87">
        <f>E51</f>
        <v>0</v>
      </c>
      <c r="H54" s="93">
        <f ca="1">F54*G54/1000000</f>
        <v>0</v>
      </c>
      <c r="I54" s="91" t="e">
        <f ca="1">I58/H54</f>
        <v>#DIV/0!</v>
      </c>
      <c r="J54" s="92">
        <f>C51+D51+40</f>
        <v>40</v>
      </c>
      <c r="K54" s="92">
        <f>E51</f>
        <v>0</v>
      </c>
    </row>
    <row r="55" spans="1:12" ht="13.2">
      <c r="A55" s="260"/>
      <c r="B55" s="89"/>
      <c r="C55" s="110"/>
      <c r="D55" s="117"/>
      <c r="E55" t="s">
        <v>35</v>
      </c>
    </row>
    <row r="56" spans="1:12" ht="25.8">
      <c r="A56" s="260"/>
      <c r="B56" s="111"/>
      <c r="C56" s="112"/>
      <c r="D56" s="120"/>
      <c r="F56" s="261" t="s">
        <v>58</v>
      </c>
      <c r="G56" s="261"/>
      <c r="H56" s="87" t="s">
        <v>59</v>
      </c>
      <c r="I56" s="95" t="s">
        <v>63</v>
      </c>
    </row>
    <row r="57" spans="1:12" ht="13.2">
      <c r="A57" s="260"/>
      <c r="B57" s="108" t="s">
        <v>87</v>
      </c>
      <c r="C57" s="116"/>
      <c r="D57" s="116" t="s">
        <v>88</v>
      </c>
      <c r="E57" s="89" t="s">
        <v>72</v>
      </c>
      <c r="F57" s="87">
        <f>C51+D51+51</f>
        <v>51</v>
      </c>
      <c r="G57" s="87">
        <f>E51</f>
        <v>0</v>
      </c>
      <c r="H57" s="90">
        <f>((F57*G57)/1000000)*2</f>
        <v>0</v>
      </c>
      <c r="I57" s="100"/>
    </row>
    <row r="58" spans="1:12" ht="13.2">
      <c r="A58" s="260"/>
      <c r="B58" s="118">
        <f>VLOOKUP(Kalk!K20,$O$2:$S$8,3,0)</f>
        <v>35</v>
      </c>
      <c r="C58" s="118">
        <f>VLOOKUP(Kalk!K20,$O$2:$S$8,4,0)</f>
        <v>0</v>
      </c>
      <c r="D58" s="118">
        <f>VLOOKUP(Kalk!K20,$O$2:$S$8,5,0)</f>
        <v>0</v>
      </c>
      <c r="E58" s="89" t="s">
        <v>72</v>
      </c>
      <c r="F58" s="87">
        <f>C51+D51+53</f>
        <v>53</v>
      </c>
      <c r="G58" s="87">
        <f>E51</f>
        <v>0</v>
      </c>
      <c r="H58" s="90">
        <f>(F58*G58/1000000)*2</f>
        <v>0</v>
      </c>
      <c r="I58" s="99">
        <v>500</v>
      </c>
    </row>
    <row r="59" spans="1:12" ht="13.2">
      <c r="A59" s="260"/>
      <c r="B59" s="120"/>
      <c r="C59" s="120"/>
      <c r="D59" s="120"/>
      <c r="E59" s="125" t="s">
        <v>72</v>
      </c>
      <c r="F59" s="87">
        <f>C51+D51+55</f>
        <v>55</v>
      </c>
      <c r="G59" s="87">
        <f>E51</f>
        <v>0</v>
      </c>
      <c r="H59" s="90">
        <f>(F59*G59/1000000)*2</f>
        <v>0</v>
      </c>
      <c r="I59" s="87"/>
    </row>
    <row r="60" spans="1:12" ht="13.2">
      <c r="A60" s="260"/>
      <c r="B60" s="120"/>
      <c r="C60" s="120"/>
      <c r="D60" s="120"/>
      <c r="E60" s="125" t="s">
        <v>72</v>
      </c>
      <c r="F60" s="87">
        <f>C51+D51+59</f>
        <v>59</v>
      </c>
      <c r="G60" s="87">
        <f>E51</f>
        <v>0</v>
      </c>
      <c r="H60" s="90">
        <f>(F60*G60/1000000)*2</f>
        <v>0</v>
      </c>
      <c r="I60" s="87"/>
    </row>
    <row r="61" spans="1:12" ht="12.9" customHeight="1">
      <c r="L61" s="265" t="s">
        <v>65</v>
      </c>
    </row>
    <row r="62" spans="1:12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265"/>
    </row>
    <row r="63" spans="1:12" ht="13.2">
      <c r="A63" s="260"/>
      <c r="B63" s="118">
        <f>VLOOKUP(Kalk!K24,$O$2:$P$8,2,0)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IF(((($C$3+$D$3)*2+47)&lt;=2900)*AND($L$3=1),($C$3+$D$3)*2+47,IF(((($C$3+$D$3)*2+47)&gt;=2855),2*F69,($C$3+$D$3)*2+47))</f>
        <v>47</v>
      </c>
      <c r="G63" s="87">
        <f>E63</f>
        <v>0</v>
      </c>
      <c r="H63" s="90">
        <f ca="1">(F63*G63)/1000000</f>
        <v>0</v>
      </c>
      <c r="I63" s="91" t="e">
        <f ca="1">I70/H63</f>
        <v>#DIV/0!</v>
      </c>
      <c r="J63" s="92">
        <f>C63+D63+20</f>
        <v>20</v>
      </c>
      <c r="K63" s="92">
        <f>E63</f>
        <v>0</v>
      </c>
      <c r="L63" s="88">
        <f ca="1">TEXO!G53</f>
        <v>0</v>
      </c>
    </row>
    <row r="64" spans="1:12" ht="13.2">
      <c r="A64" s="260"/>
      <c r="B64" s="89"/>
      <c r="C64" s="6"/>
      <c r="D64" s="6"/>
      <c r="E64" s="6"/>
      <c r="F64" s="87">
        <f ca="1">IF(((($C$3+$D$3)*2+51)&lt;=2900)*AND($L$3=1),($C$3+$D$3)*2+51,IF(((($C$3+$D$3)*2+51)&gt;=2855),2*F70,($C$3+$D$3)*2+51))</f>
        <v>51</v>
      </c>
      <c r="G64" s="87">
        <f>E63</f>
        <v>0</v>
      </c>
      <c r="H64" s="93">
        <f ca="1">F64*G64/1000000</f>
        <v>0</v>
      </c>
      <c r="I64" s="91" t="e">
        <f ca="1">I70/H64</f>
        <v>#DIV/0!</v>
      </c>
      <c r="J64" s="92">
        <f>C63+D63+20</f>
        <v>20</v>
      </c>
      <c r="K64" s="92">
        <f>E63</f>
        <v>0</v>
      </c>
    </row>
    <row r="65" spans="1:12" ht="13.2">
      <c r="A65" s="260"/>
      <c r="B65" s="89"/>
      <c r="C65" s="6"/>
      <c r="D65" s="6"/>
      <c r="E65" s="6"/>
      <c r="F65" s="87">
        <f ca="1">IF(((($C$3+$D$3)*2+55)&lt;=2900)*AND($L$3=1),($C$3+$D$3)*2+55,IF(((($C$3+$D$3)*2+55)&gt;=2855),2*F71,($C$3+$D$3)*2+55))</f>
        <v>55</v>
      </c>
      <c r="G65" s="87">
        <f>E63</f>
        <v>0</v>
      </c>
      <c r="H65" s="93">
        <f ca="1">F65*G65/1000000</f>
        <v>0</v>
      </c>
      <c r="I65" s="91" t="e">
        <f ca="1">I70/H65</f>
        <v>#DIV/0!</v>
      </c>
      <c r="J65" s="92">
        <f>C63+D63+40</f>
        <v>40</v>
      </c>
      <c r="K65" s="92">
        <f>E63</f>
        <v>0</v>
      </c>
    </row>
    <row r="66" spans="1:12" ht="13.2">
      <c r="A66" s="260"/>
      <c r="B66" s="89"/>
      <c r="C66" s="6"/>
      <c r="D66" s="6"/>
      <c r="E66" s="6"/>
      <c r="F66" s="87">
        <f ca="1">IF(((($C$3+$D$3)*2+63)&lt;=2900)*AND($L$3=1),($C$3+$D$3)*2+63,IF(((($C$3+$D$3)*2+63)&gt;=2855),2*F72,($C$3+$D$3)*2+63))</f>
        <v>63</v>
      </c>
      <c r="G66" s="87">
        <f>E63</f>
        <v>0</v>
      </c>
      <c r="H66" s="93">
        <f ca="1">F66*G66/1000000</f>
        <v>0</v>
      </c>
      <c r="I66" s="91" t="e">
        <f ca="1">I70/H66</f>
        <v>#DIV/0!</v>
      </c>
      <c r="J66" s="92">
        <f>C63+D63+40</f>
        <v>40</v>
      </c>
      <c r="K66" s="92">
        <f>E63</f>
        <v>0</v>
      </c>
    </row>
    <row r="67" spans="1:12" ht="13.2">
      <c r="A67" s="260"/>
      <c r="B67" s="89"/>
      <c r="C67" s="110"/>
      <c r="D67" s="117"/>
      <c r="E67" t="s">
        <v>35</v>
      </c>
    </row>
    <row r="68" spans="1:12" ht="25.8">
      <c r="A68" s="260"/>
      <c r="B68" s="111"/>
      <c r="C68" s="112"/>
      <c r="D68" s="120"/>
      <c r="F68" s="261" t="s">
        <v>58</v>
      </c>
      <c r="G68" s="261"/>
      <c r="H68" s="87" t="s">
        <v>59</v>
      </c>
      <c r="I68" s="95" t="s">
        <v>63</v>
      </c>
    </row>
    <row r="69" spans="1:12" ht="13.2">
      <c r="A69" s="260"/>
      <c r="B69" s="108" t="s">
        <v>87</v>
      </c>
      <c r="C69" s="116"/>
      <c r="D69" s="116" t="s">
        <v>88</v>
      </c>
      <c r="E69" s="89" t="s">
        <v>72</v>
      </c>
      <c r="F69" s="87">
        <f>C63+D63+51</f>
        <v>51</v>
      </c>
      <c r="G69" s="87">
        <f>E63</f>
        <v>0</v>
      </c>
      <c r="H69" s="90">
        <f>((F69*G69)/1000000)*2</f>
        <v>0</v>
      </c>
      <c r="I69" s="100"/>
    </row>
    <row r="70" spans="1:12" ht="13.2">
      <c r="A70" s="260"/>
      <c r="B70" s="118">
        <f>VLOOKUP(Kalk!K24,$O$2:$S$8,3,0)</f>
        <v>35</v>
      </c>
      <c r="C70" s="118">
        <f>VLOOKUP(Kalk!K24,$O$2:$S$8,4,0)</f>
        <v>0</v>
      </c>
      <c r="D70" s="118">
        <f>VLOOKUP(Kalk!K24,$O$2:$S$8,5,0)</f>
        <v>0</v>
      </c>
      <c r="E70" s="89" t="s">
        <v>72</v>
      </c>
      <c r="F70" s="87">
        <f>C63+D63+53</f>
        <v>53</v>
      </c>
      <c r="G70" s="87">
        <f>E63</f>
        <v>0</v>
      </c>
      <c r="H70" s="90">
        <f>(F70*G70/1000000)*2</f>
        <v>0</v>
      </c>
      <c r="I70" s="99">
        <v>500</v>
      </c>
    </row>
    <row r="71" spans="1:12" ht="13.2">
      <c r="A71" s="260"/>
      <c r="B71" s="120"/>
      <c r="C71" s="120"/>
      <c r="D71" s="120"/>
      <c r="E71" s="125" t="s">
        <v>72</v>
      </c>
      <c r="F71" s="87">
        <f>C63+D63+55</f>
        <v>55</v>
      </c>
      <c r="G71" s="87">
        <f>E63</f>
        <v>0</v>
      </c>
      <c r="H71" s="90">
        <f>(F71*G71/1000000)*2</f>
        <v>0</v>
      </c>
      <c r="I71" s="87"/>
    </row>
    <row r="72" spans="1:12" ht="13.2">
      <c r="A72" s="260"/>
      <c r="B72" s="120"/>
      <c r="C72" s="120"/>
      <c r="D72" s="120"/>
      <c r="E72" s="125" t="s">
        <v>72</v>
      </c>
      <c r="F72" s="87">
        <f>C63+D63+59</f>
        <v>59</v>
      </c>
      <c r="G72" s="87">
        <f>E63</f>
        <v>0</v>
      </c>
      <c r="H72" s="90">
        <f>(F72*G72/1000000)*2</f>
        <v>0</v>
      </c>
      <c r="I72" s="87"/>
    </row>
    <row r="73" spans="1:12" ht="12.9" customHeight="1">
      <c r="L73" s="265" t="s">
        <v>65</v>
      </c>
    </row>
    <row r="74" spans="1:12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265"/>
    </row>
    <row r="75" spans="1:12" ht="13.2">
      <c r="A75" s="260"/>
      <c r="B75" s="118">
        <f>VLOOKUP(Kalk!K28,$O$2:$P$8,2,0)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IF(((($C$3+$D$3)*2+47)&lt;=2900)*AND($L$3=1),($C$3+$D$3)*2+47,IF(((($C$3+$D$3)*2+47)&gt;=2855),2*F81,($C$3+$D$3)*2+47))</f>
        <v>47</v>
      </c>
      <c r="G75" s="87">
        <f>E75</f>
        <v>0</v>
      </c>
      <c r="H75" s="90">
        <f ca="1">(F75*G75)/1000000</f>
        <v>0</v>
      </c>
      <c r="I75" s="91" t="e">
        <f ca="1">I82/H75</f>
        <v>#DIV/0!</v>
      </c>
      <c r="J75" s="92">
        <f>C75+D75+20</f>
        <v>20</v>
      </c>
      <c r="K75" s="92">
        <f>E75</f>
        <v>0</v>
      </c>
      <c r="L75" s="88">
        <f ca="1">TEXO!G62</f>
        <v>0</v>
      </c>
    </row>
    <row r="76" spans="1:12" ht="13.2">
      <c r="A76" s="260"/>
      <c r="B76" s="89"/>
      <c r="C76" s="6"/>
      <c r="D76" s="6"/>
      <c r="E76" s="6"/>
      <c r="F76" s="87">
        <f ca="1">IF(((($C$3+$D$3)*2+51)&lt;=2900)*AND($L$3=1),($C$3+$D$3)*2+51,IF(((($C$3+$D$3)*2+51)&gt;=2855),2*F82,($C$3+$D$3)*2+51))</f>
        <v>51</v>
      </c>
      <c r="G76" s="87">
        <f>E75</f>
        <v>0</v>
      </c>
      <c r="H76" s="93">
        <f ca="1">F76*G76/1000000</f>
        <v>0</v>
      </c>
      <c r="I76" s="91" t="e">
        <f ca="1">I82/H76</f>
        <v>#DIV/0!</v>
      </c>
      <c r="J76" s="92">
        <f>C75+D75+20</f>
        <v>20</v>
      </c>
      <c r="K76" s="92">
        <f>E75</f>
        <v>0</v>
      </c>
    </row>
    <row r="77" spans="1:12" ht="13.2">
      <c r="A77" s="260"/>
      <c r="B77" s="89"/>
      <c r="C77" s="6"/>
      <c r="D77" s="6"/>
      <c r="E77" s="6"/>
      <c r="F77" s="87">
        <f ca="1">IF(((($C$3+$D$3)*2+55)&lt;=2900)*AND($L$3=1),($C$3+$D$3)*2+55,IF(((($C$3+$D$3)*2+55)&gt;=2855),2*F83,($C$3+$D$3)*2+55))</f>
        <v>55</v>
      </c>
      <c r="G77" s="87">
        <f>E75</f>
        <v>0</v>
      </c>
      <c r="H77" s="93">
        <f ca="1">F77*G77/1000000</f>
        <v>0</v>
      </c>
      <c r="I77" s="91" t="e">
        <f ca="1">I82/H77</f>
        <v>#DIV/0!</v>
      </c>
      <c r="J77" s="92">
        <f>C75+D75+40</f>
        <v>40</v>
      </c>
      <c r="K77" s="92">
        <f>E75</f>
        <v>0</v>
      </c>
    </row>
    <row r="78" spans="1:12" ht="13.2">
      <c r="A78" s="260"/>
      <c r="B78" s="89"/>
      <c r="C78" s="6"/>
      <c r="D78" s="6"/>
      <c r="E78" s="6"/>
      <c r="F78" s="87">
        <f ca="1">IF(((($C$3+$D$3)*2+63)&lt;=2900)*AND($L$3=1),($C$3+$D$3)*2+63,IF(((($C$3+$D$3)*2+63)&gt;=2855),2*F84,($C$3+$D$3)*2+63))</f>
        <v>63</v>
      </c>
      <c r="G78" s="87">
        <f>E75</f>
        <v>0</v>
      </c>
      <c r="H78" s="93">
        <f ca="1">F78*G78/1000000</f>
        <v>0</v>
      </c>
      <c r="I78" s="91" t="e">
        <f ca="1">I82/H78</f>
        <v>#DIV/0!</v>
      </c>
      <c r="J78" s="92">
        <f>C75+D75+40</f>
        <v>40</v>
      </c>
      <c r="K78" s="92">
        <f>E75</f>
        <v>0</v>
      </c>
    </row>
    <row r="79" spans="1:12" ht="13.2">
      <c r="A79" s="260"/>
      <c r="B79" s="89"/>
      <c r="C79" s="110"/>
      <c r="D79" s="117"/>
      <c r="E79" t="s">
        <v>35</v>
      </c>
    </row>
    <row r="80" spans="1:12" ht="25.8">
      <c r="A80" s="260"/>
      <c r="B80" s="111"/>
      <c r="C80" s="112"/>
      <c r="D80" s="120"/>
      <c r="F80" s="261" t="s">
        <v>58</v>
      </c>
      <c r="G80" s="261"/>
      <c r="H80" s="87" t="s">
        <v>59</v>
      </c>
      <c r="I80" s="95" t="s">
        <v>63</v>
      </c>
    </row>
    <row r="81" spans="1:12" ht="13.2">
      <c r="A81" s="260"/>
      <c r="B81" s="108" t="s">
        <v>87</v>
      </c>
      <c r="C81" s="116"/>
      <c r="D81" s="116" t="s">
        <v>88</v>
      </c>
      <c r="E81" s="89" t="s">
        <v>72</v>
      </c>
      <c r="F81" s="87">
        <f>C75+D75+51</f>
        <v>51</v>
      </c>
      <c r="G81" s="87">
        <f>E75</f>
        <v>0</v>
      </c>
      <c r="H81" s="90">
        <f>((F81*G81)/1000000)*2</f>
        <v>0</v>
      </c>
      <c r="I81" s="100"/>
    </row>
    <row r="82" spans="1:12" ht="13.2">
      <c r="A82" s="260"/>
      <c r="B82" s="118">
        <f>VLOOKUP(Kalk!K28,$O$2:$S$8,3,0)</f>
        <v>35</v>
      </c>
      <c r="C82" s="118">
        <f>VLOOKUP(Kalk!K28,$O$2:$S$8,4,0)</f>
        <v>0</v>
      </c>
      <c r="D82" s="118">
        <f>VLOOKUP(Kalk!K28,$O$2:$S$8,5,0)</f>
        <v>0</v>
      </c>
      <c r="E82" s="89" t="s">
        <v>72</v>
      </c>
      <c r="F82" s="87">
        <f>C75+D75+53</f>
        <v>53</v>
      </c>
      <c r="G82" s="87">
        <f>E75</f>
        <v>0</v>
      </c>
      <c r="H82" s="90">
        <f>(F82*G82/1000000)*2</f>
        <v>0</v>
      </c>
      <c r="I82" s="99">
        <v>500</v>
      </c>
    </row>
    <row r="83" spans="1:12" ht="13.2">
      <c r="A83" s="260"/>
      <c r="B83" s="120"/>
      <c r="C83" s="120"/>
      <c r="D83" s="120"/>
      <c r="E83" s="125" t="s">
        <v>72</v>
      </c>
      <c r="F83" s="87">
        <f>C75+D75+55</f>
        <v>55</v>
      </c>
      <c r="G83" s="87">
        <f>E75</f>
        <v>0</v>
      </c>
      <c r="H83" s="90">
        <f>(F83*G83/1000000)*2</f>
        <v>0</v>
      </c>
      <c r="I83" s="87"/>
    </row>
    <row r="84" spans="1:12" ht="13.2">
      <c r="A84" s="260"/>
      <c r="B84" s="120"/>
      <c r="C84" s="120"/>
      <c r="D84" s="120"/>
      <c r="E84" s="125" t="s">
        <v>72</v>
      </c>
      <c r="F84" s="87">
        <f>C75+D75+59</f>
        <v>59</v>
      </c>
      <c r="G84" s="87">
        <f>E75</f>
        <v>0</v>
      </c>
      <c r="H84" s="90">
        <f>(F84*G84/1000000)*2</f>
        <v>0</v>
      </c>
      <c r="I84" s="87"/>
    </row>
    <row r="85" spans="1:12" ht="12.9" customHeight="1">
      <c r="L85" s="265" t="s">
        <v>65</v>
      </c>
    </row>
    <row r="86" spans="1:12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265"/>
    </row>
    <row r="87" spans="1:12" ht="13.2">
      <c r="A87" s="260"/>
      <c r="B87" s="118">
        <f>VLOOKUP(Kalk!K32,$O$2:$P$8,2,0)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IF(((($C$3+$D$3)*2+47)&lt;=2900)*AND($L$3=1),($C$3+$D$3)*2+47,IF(((($C$3+$D$3)*2+47)&gt;=2855),2*F93,($C$3+$D$3)*2+47))</f>
        <v>47</v>
      </c>
      <c r="G87" s="87">
        <f>E87</f>
        <v>0</v>
      </c>
      <c r="H87" s="90">
        <f ca="1">(F87*G87)/1000000</f>
        <v>0</v>
      </c>
      <c r="I87" s="91" t="e">
        <f ca="1">I94/H87</f>
        <v>#DIV/0!</v>
      </c>
      <c r="J87" s="92">
        <f>C87+D87+20</f>
        <v>20</v>
      </c>
      <c r="K87" s="92">
        <f>E87</f>
        <v>0</v>
      </c>
      <c r="L87" s="88">
        <f ca="1">TEXO!G71</f>
        <v>0</v>
      </c>
    </row>
    <row r="88" spans="1:12" ht="13.2">
      <c r="A88" s="260"/>
      <c r="B88" s="89"/>
      <c r="C88" s="6"/>
      <c r="D88" s="6"/>
      <c r="E88" s="6"/>
      <c r="F88" s="87">
        <f ca="1">IF(((($C$3+$D$3)*2+51)&lt;=2900)*AND($L$3=1),($C$3+$D$3)*2+51,IF(((($C$3+$D$3)*2+51)&gt;=2855),2*F94,($C$3+$D$3)*2+51))</f>
        <v>51</v>
      </c>
      <c r="G88" s="87">
        <f>E87</f>
        <v>0</v>
      </c>
      <c r="H88" s="93">
        <f ca="1">F88*G88/1000000</f>
        <v>0</v>
      </c>
      <c r="I88" s="91" t="e">
        <f ca="1">I94/H88</f>
        <v>#DIV/0!</v>
      </c>
      <c r="J88" s="92">
        <f>C87+D87+20</f>
        <v>20</v>
      </c>
      <c r="K88" s="92">
        <f>E87</f>
        <v>0</v>
      </c>
    </row>
    <row r="89" spans="1:12" ht="13.2">
      <c r="A89" s="260"/>
      <c r="B89" s="89"/>
      <c r="C89" s="6"/>
      <c r="D89" s="6"/>
      <c r="E89" s="6"/>
      <c r="F89" s="87">
        <f ca="1">IF(((($C$3+$D$3)*2+55)&lt;=2900)*AND($L$3=1),($C$3+$D$3)*2+55,IF(((($C$3+$D$3)*2+55)&gt;=2855),2*F95,($C$3+$D$3)*2+55))</f>
        <v>55</v>
      </c>
      <c r="G89" s="87">
        <f>E87</f>
        <v>0</v>
      </c>
      <c r="H89" s="93">
        <f ca="1">F89*G89/1000000</f>
        <v>0</v>
      </c>
      <c r="I89" s="91" t="e">
        <f ca="1">I94/H89</f>
        <v>#DIV/0!</v>
      </c>
      <c r="J89" s="92">
        <f>C87+D87+40</f>
        <v>40</v>
      </c>
      <c r="K89" s="92">
        <f>E87</f>
        <v>0</v>
      </c>
    </row>
    <row r="90" spans="1:12" ht="13.2">
      <c r="A90" s="260"/>
      <c r="B90" s="89"/>
      <c r="C90" s="6"/>
      <c r="D90" s="6"/>
      <c r="E90" s="6"/>
      <c r="F90" s="87">
        <f ca="1">IF(((($C$3+$D$3)*2+63)&lt;=2900)*AND($L$3=1),($C$3+$D$3)*2+63,IF(((($C$3+$D$3)*2+63)&gt;=2855),2*F96,($C$3+$D$3)*2+63))</f>
        <v>63</v>
      </c>
      <c r="G90" s="87">
        <f>E87</f>
        <v>0</v>
      </c>
      <c r="H90" s="93">
        <f ca="1">F90*G90/1000000</f>
        <v>0</v>
      </c>
      <c r="I90" s="91" t="e">
        <f ca="1">I94/H90</f>
        <v>#DIV/0!</v>
      </c>
      <c r="J90" s="92">
        <f>C87+D87+40</f>
        <v>40</v>
      </c>
      <c r="K90" s="92">
        <f>E87</f>
        <v>0</v>
      </c>
    </row>
    <row r="91" spans="1:12" ht="13.2">
      <c r="A91" s="260"/>
      <c r="B91" s="89"/>
      <c r="C91" s="110"/>
      <c r="D91" s="117"/>
      <c r="E91" t="s">
        <v>35</v>
      </c>
    </row>
    <row r="92" spans="1:12" ht="25.8">
      <c r="A92" s="260"/>
      <c r="B92" s="111"/>
      <c r="C92" s="112"/>
      <c r="D92" s="120"/>
      <c r="F92" s="261" t="s">
        <v>58</v>
      </c>
      <c r="G92" s="261"/>
      <c r="H92" s="87" t="s">
        <v>59</v>
      </c>
      <c r="I92" s="95" t="s">
        <v>63</v>
      </c>
    </row>
    <row r="93" spans="1:12" ht="13.2">
      <c r="A93" s="260"/>
      <c r="B93" s="108" t="s">
        <v>87</v>
      </c>
      <c r="C93" s="116"/>
      <c r="D93" s="116" t="s">
        <v>88</v>
      </c>
      <c r="E93" s="89" t="s">
        <v>72</v>
      </c>
      <c r="F93" s="87">
        <f>C87+D87+51</f>
        <v>51</v>
      </c>
      <c r="G93" s="87">
        <f>E87</f>
        <v>0</v>
      </c>
      <c r="H93" s="90">
        <f>((F93*G93)/1000000)*2</f>
        <v>0</v>
      </c>
      <c r="I93" s="100"/>
    </row>
    <row r="94" spans="1:12" ht="13.2">
      <c r="A94" s="260"/>
      <c r="B94" s="118">
        <f>VLOOKUP(Kalk!K32,$O$2:$S$8,3,0)</f>
        <v>35</v>
      </c>
      <c r="C94" s="118">
        <f>VLOOKUP(Kalk!K32,$O$2:$S$8,4,0)</f>
        <v>0</v>
      </c>
      <c r="D94" s="118">
        <f>VLOOKUP(Kalk!K32,$O$2:$S$8,5,0)</f>
        <v>0</v>
      </c>
      <c r="E94" s="89" t="s">
        <v>72</v>
      </c>
      <c r="F94" s="87">
        <f>C87+D87+53</f>
        <v>53</v>
      </c>
      <c r="G94" s="87">
        <f>E87</f>
        <v>0</v>
      </c>
      <c r="H94" s="90">
        <f>(F94*G94/1000000)*2</f>
        <v>0</v>
      </c>
      <c r="I94" s="99">
        <v>500</v>
      </c>
    </row>
    <row r="95" spans="1:12" ht="13.2">
      <c r="A95" s="260"/>
      <c r="B95" s="120"/>
      <c r="C95" s="120"/>
      <c r="D95" s="120"/>
      <c r="E95" s="125" t="s">
        <v>72</v>
      </c>
      <c r="F95" s="87">
        <f>C87+D87+55</f>
        <v>55</v>
      </c>
      <c r="G95" s="87">
        <f>E87</f>
        <v>0</v>
      </c>
      <c r="H95" s="90">
        <f>(F95*G95/1000000)*2</f>
        <v>0</v>
      </c>
      <c r="I95" s="87"/>
    </row>
    <row r="96" spans="1:12" ht="13.2">
      <c r="A96" s="260"/>
      <c r="B96" s="120"/>
      <c r="C96" s="120"/>
      <c r="D96" s="120"/>
      <c r="E96" s="125" t="s">
        <v>72</v>
      </c>
      <c r="F96" s="87">
        <f>C87+D87+59</f>
        <v>59</v>
      </c>
      <c r="G96" s="87">
        <f>E87</f>
        <v>0</v>
      </c>
      <c r="H96" s="90">
        <f>(F96*G96/1000000)*2</f>
        <v>0</v>
      </c>
      <c r="I96" s="87"/>
    </row>
    <row r="97" spans="1:12" ht="12.9" customHeight="1">
      <c r="L97" s="265" t="s">
        <v>65</v>
      </c>
    </row>
    <row r="98" spans="1:12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265"/>
    </row>
    <row r="99" spans="1:12" ht="13.2">
      <c r="A99" s="260"/>
      <c r="B99" s="118">
        <f>VLOOKUP(Kalk!K36,$O$2:$P$8,2,0)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IF(((($C$3+$D$3)*2+47)&lt;=2900)*AND($L$3=1),($C$3+$D$3)*2+47,IF(((($C$3+$D$3)*2+47)&gt;=2855),2*F105,($C$3+$D$3)*2+47))</f>
        <v>47</v>
      </c>
      <c r="G99" s="87">
        <f>E99</f>
        <v>0</v>
      </c>
      <c r="H99" s="90">
        <f ca="1">(F99*G99)/1000000</f>
        <v>0</v>
      </c>
      <c r="I99" s="91" t="e">
        <f ca="1">I106/H99</f>
        <v>#DIV/0!</v>
      </c>
      <c r="J99" s="92">
        <f>C99+D99+20</f>
        <v>20</v>
      </c>
      <c r="K99" s="92">
        <f>E99</f>
        <v>0</v>
      </c>
      <c r="L99" s="88">
        <f ca="1">TEXO!G80</f>
        <v>0</v>
      </c>
    </row>
    <row r="100" spans="1:12" ht="13.2">
      <c r="A100" s="260"/>
      <c r="B100" s="89"/>
      <c r="C100" s="6"/>
      <c r="D100" s="6"/>
      <c r="E100" s="6"/>
      <c r="F100" s="87">
        <f ca="1">IF(((($C$3+$D$3)*2+51)&lt;=2900)*AND($L$3=1),($C$3+$D$3)*2+51,IF(((($C$3+$D$3)*2+51)&gt;=2855),2*F106,($C$3+$D$3)*2+51))</f>
        <v>51</v>
      </c>
      <c r="G100" s="87">
        <f>E99</f>
        <v>0</v>
      </c>
      <c r="H100" s="93">
        <f ca="1">F100*G100/1000000</f>
        <v>0</v>
      </c>
      <c r="I100" s="91" t="e">
        <f ca="1">I106/H100</f>
        <v>#DIV/0!</v>
      </c>
      <c r="J100" s="92">
        <f>C99+D99+20</f>
        <v>20</v>
      </c>
      <c r="K100" s="92">
        <f>E99</f>
        <v>0</v>
      </c>
    </row>
    <row r="101" spans="1:12" ht="13.2">
      <c r="A101" s="260"/>
      <c r="B101" s="89"/>
      <c r="C101" s="6"/>
      <c r="D101" s="6"/>
      <c r="E101" s="6"/>
      <c r="F101" s="87">
        <f ca="1">IF(((($C$3+$D$3)*2+55)&lt;=2900)*AND($L$3=1),($C$3+$D$3)*2+55,IF(((($C$3+$D$3)*2+55)&gt;=2855),2*F107,($C$3+$D$3)*2+55))</f>
        <v>55</v>
      </c>
      <c r="G101" s="87">
        <f>E99</f>
        <v>0</v>
      </c>
      <c r="H101" s="93">
        <f ca="1">F101*G101/1000000</f>
        <v>0</v>
      </c>
      <c r="I101" s="91" t="e">
        <f ca="1">I106/H101</f>
        <v>#DIV/0!</v>
      </c>
      <c r="J101" s="92">
        <f>C99+D99+40</f>
        <v>40</v>
      </c>
      <c r="K101" s="92">
        <f>E99</f>
        <v>0</v>
      </c>
    </row>
    <row r="102" spans="1:12" ht="13.2">
      <c r="A102" s="260"/>
      <c r="B102" s="89"/>
      <c r="C102" s="6"/>
      <c r="D102" s="6"/>
      <c r="E102" s="6"/>
      <c r="F102" s="87">
        <f ca="1">IF(((($C$3+$D$3)*2+63)&lt;=2900)*AND($L$3=1),($C$3+$D$3)*2+63,IF(((($C$3+$D$3)*2+63)&gt;=2855),2*F108,($C$3+$D$3)*2+63))</f>
        <v>63</v>
      </c>
      <c r="G102" s="87">
        <f>E99</f>
        <v>0</v>
      </c>
      <c r="H102" s="93">
        <f ca="1">F102*G102/1000000</f>
        <v>0</v>
      </c>
      <c r="I102" s="91" t="e">
        <f ca="1">I106/H102</f>
        <v>#DIV/0!</v>
      </c>
      <c r="J102" s="92">
        <f>C99+D99+40</f>
        <v>40</v>
      </c>
      <c r="K102" s="92">
        <f>E99</f>
        <v>0</v>
      </c>
    </row>
    <row r="103" spans="1:12" ht="13.2">
      <c r="A103" s="260"/>
      <c r="B103" s="89"/>
      <c r="C103" s="110"/>
      <c r="D103" s="117"/>
      <c r="E103" t="s">
        <v>35</v>
      </c>
    </row>
    <row r="104" spans="1:12" ht="25.8">
      <c r="A104" s="260"/>
      <c r="B104" s="111"/>
      <c r="C104" s="112"/>
      <c r="D104" s="120"/>
      <c r="F104" s="261" t="s">
        <v>58</v>
      </c>
      <c r="G104" s="261"/>
      <c r="H104" s="87" t="s">
        <v>59</v>
      </c>
      <c r="I104" s="95" t="s">
        <v>63</v>
      </c>
    </row>
    <row r="105" spans="1:12" ht="13.2">
      <c r="A105" s="260"/>
      <c r="B105" s="108" t="s">
        <v>87</v>
      </c>
      <c r="C105" s="116"/>
      <c r="D105" s="116" t="s">
        <v>88</v>
      </c>
      <c r="E105" s="89" t="s">
        <v>72</v>
      </c>
      <c r="F105" s="87">
        <f>C99+D99+51</f>
        <v>51</v>
      </c>
      <c r="G105" s="87">
        <f>E99</f>
        <v>0</v>
      </c>
      <c r="H105" s="90">
        <f>((F105*G105)/1000000)*2</f>
        <v>0</v>
      </c>
      <c r="I105" s="100"/>
    </row>
    <row r="106" spans="1:12" ht="13.2">
      <c r="A106" s="260"/>
      <c r="B106" s="118">
        <f>VLOOKUP(Kalk!K36,$O$2:$S$8,3,0)</f>
        <v>35</v>
      </c>
      <c r="C106" s="118">
        <f>VLOOKUP(Kalk!K36,$O$2:$S$8,4,0)</f>
        <v>0</v>
      </c>
      <c r="D106" s="118">
        <f>VLOOKUP(Kalk!K36,$O$2:$S$8,5,0)</f>
        <v>0</v>
      </c>
      <c r="E106" s="89" t="s">
        <v>72</v>
      </c>
      <c r="F106" s="87">
        <f>C99+D99+53</f>
        <v>53</v>
      </c>
      <c r="G106" s="87">
        <f>E99</f>
        <v>0</v>
      </c>
      <c r="H106" s="90">
        <f>(F106*G106/1000000)*2</f>
        <v>0</v>
      </c>
      <c r="I106" s="99">
        <v>500</v>
      </c>
    </row>
    <row r="107" spans="1:12" ht="13.2">
      <c r="A107" s="260"/>
      <c r="B107" s="120"/>
      <c r="C107" s="120"/>
      <c r="D107" s="120"/>
      <c r="E107" s="125" t="s">
        <v>72</v>
      </c>
      <c r="F107" s="87">
        <f>C99+D99+55</f>
        <v>55</v>
      </c>
      <c r="G107" s="87">
        <f>E99</f>
        <v>0</v>
      </c>
      <c r="H107" s="90">
        <f>(F107*G107/1000000)*2</f>
        <v>0</v>
      </c>
      <c r="I107" s="87"/>
    </row>
    <row r="108" spans="1:12" ht="13.2">
      <c r="A108" s="260"/>
      <c r="B108" s="120"/>
      <c r="C108" s="120"/>
      <c r="D108" s="120"/>
      <c r="E108" s="125" t="s">
        <v>72</v>
      </c>
      <c r="F108" s="87">
        <f>C99+D99+59</f>
        <v>59</v>
      </c>
      <c r="G108" s="87">
        <f>E99</f>
        <v>0</v>
      </c>
      <c r="H108" s="90">
        <f>(F108*G108/1000000)*2</f>
        <v>0</v>
      </c>
      <c r="I108" s="87"/>
    </row>
    <row r="109" spans="1:12" ht="12.9" customHeight="1">
      <c r="L109" s="265" t="s">
        <v>65</v>
      </c>
    </row>
    <row r="110" spans="1:12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265"/>
    </row>
    <row r="111" spans="1:12" ht="13.2">
      <c r="A111" s="260"/>
      <c r="B111" s="118">
        <f>VLOOKUP(Kalk!K40,$O$2:$P$8,2,0)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IF(((($C$3+$D$3)*2+47)&lt;=2900)*AND($L$3=1),($C$3+$D$3)*2+47,IF(((($C$3+$D$3)*2+47)&gt;=2855),2*F117,($C$3+$D$3)*2+47))</f>
        <v>47</v>
      </c>
      <c r="G111" s="87">
        <f>E111</f>
        <v>0</v>
      </c>
      <c r="H111" s="90">
        <f ca="1">(F111*G111)/1000000</f>
        <v>0</v>
      </c>
      <c r="I111" s="91" t="e">
        <f ca="1">I118/H111</f>
        <v>#DIV/0!</v>
      </c>
      <c r="J111" s="92">
        <f>C111+D111+20</f>
        <v>20</v>
      </c>
      <c r="K111" s="92">
        <f>E111</f>
        <v>0</v>
      </c>
      <c r="L111" s="88">
        <f ca="1">TEXO!G89</f>
        <v>0</v>
      </c>
    </row>
    <row r="112" spans="1:12" ht="13.2">
      <c r="A112" s="260"/>
      <c r="B112" s="89"/>
      <c r="C112" s="6"/>
      <c r="D112" s="6"/>
      <c r="E112" s="6"/>
      <c r="F112" s="87">
        <f ca="1">IF(((($C$3+$D$3)*2+51)&lt;=2900)*AND($L$3=1),($C$3+$D$3)*2+51,IF(((($C$3+$D$3)*2+51)&gt;=2855),2*F118,($C$3+$D$3)*2+51))</f>
        <v>51</v>
      </c>
      <c r="G112" s="87">
        <f>E111</f>
        <v>0</v>
      </c>
      <c r="H112" s="93">
        <f ca="1">F112*G112/1000000</f>
        <v>0</v>
      </c>
      <c r="I112" s="91" t="e">
        <f ca="1">I118/H112</f>
        <v>#DIV/0!</v>
      </c>
      <c r="J112" s="92">
        <f>C111+D111+20</f>
        <v>20</v>
      </c>
      <c r="K112" s="92">
        <f>E111</f>
        <v>0</v>
      </c>
    </row>
    <row r="113" spans="1:11" ht="13.2">
      <c r="A113" s="260"/>
      <c r="B113" s="89"/>
      <c r="C113" s="6"/>
      <c r="D113" s="6"/>
      <c r="E113" s="6"/>
      <c r="F113" s="87">
        <f ca="1">IF(((($C$3+$D$3)*2+55)&lt;=2900)*AND($L$3=1),($C$3+$D$3)*2+55,IF(((($C$3+$D$3)*2+55)&gt;=2855),2*F119,($C$3+$D$3)*2+55))</f>
        <v>55</v>
      </c>
      <c r="G113" s="87">
        <f>E111</f>
        <v>0</v>
      </c>
      <c r="H113" s="93">
        <f ca="1">F113*G113/1000000</f>
        <v>0</v>
      </c>
      <c r="I113" s="91" t="e">
        <f ca="1">I118/H113</f>
        <v>#DIV/0!</v>
      </c>
      <c r="J113" s="92">
        <f>C111+D111+40</f>
        <v>40</v>
      </c>
      <c r="K113" s="92">
        <f>E111</f>
        <v>0</v>
      </c>
    </row>
    <row r="114" spans="1:11" ht="13.2">
      <c r="A114" s="260"/>
      <c r="B114" s="89"/>
      <c r="C114" s="6"/>
      <c r="D114" s="6"/>
      <c r="E114" s="6"/>
      <c r="F114" s="87">
        <f ca="1">IF(((($C$3+$D$3)*2+63)&lt;=2900)*AND($L$3=1),($C$3+$D$3)*2+63,IF(((($C$3+$D$3)*2+63)&gt;=2855),2*F120,($C$3+$D$3)*2+63))</f>
        <v>63</v>
      </c>
      <c r="G114" s="87">
        <f>E111</f>
        <v>0</v>
      </c>
      <c r="H114" s="93">
        <f ca="1">F114*G114/1000000</f>
        <v>0</v>
      </c>
      <c r="I114" s="91" t="e">
        <f ca="1">I118/H114</f>
        <v>#DIV/0!</v>
      </c>
      <c r="J114" s="92">
        <f>C111+D111+40</f>
        <v>40</v>
      </c>
      <c r="K114" s="92">
        <f>E111</f>
        <v>0</v>
      </c>
    </row>
    <row r="115" spans="1:11" ht="13.2">
      <c r="A115" s="260"/>
      <c r="B115" s="89"/>
      <c r="C115" s="110"/>
      <c r="D115" s="117"/>
      <c r="E115" t="s">
        <v>35</v>
      </c>
    </row>
    <row r="116" spans="1:11" ht="25.8">
      <c r="A116" s="260"/>
      <c r="B116" s="111"/>
      <c r="C116" s="112"/>
      <c r="D116" s="120"/>
      <c r="F116" s="261" t="s">
        <v>58</v>
      </c>
      <c r="G116" s="261"/>
      <c r="H116" s="87" t="s">
        <v>59</v>
      </c>
      <c r="I116" s="95" t="s">
        <v>63</v>
      </c>
    </row>
    <row r="117" spans="1:11" ht="13.2">
      <c r="A117" s="260"/>
      <c r="B117" s="108" t="s">
        <v>87</v>
      </c>
      <c r="C117" s="116"/>
      <c r="D117" s="116" t="s">
        <v>88</v>
      </c>
      <c r="E117" s="89" t="s">
        <v>72</v>
      </c>
      <c r="F117" s="87">
        <f>C111+D111+51</f>
        <v>51</v>
      </c>
      <c r="G117" s="87">
        <f>E111</f>
        <v>0</v>
      </c>
      <c r="H117" s="90">
        <f>((F117*G117)/1000000)*2</f>
        <v>0</v>
      </c>
      <c r="I117" s="100"/>
    </row>
    <row r="118" spans="1:11" ht="13.2">
      <c r="A118" s="260"/>
      <c r="B118" s="118">
        <f>VLOOKUP(Kalk!K40,$O$2:$S$8,3,0)</f>
        <v>35</v>
      </c>
      <c r="C118" s="118">
        <f>VLOOKUP(Kalk!K40,$O$2:$S$8,4,0)</f>
        <v>0</v>
      </c>
      <c r="D118" s="118">
        <f>VLOOKUP(Kalk!K40,$O$2:$S$8,5,0)</f>
        <v>0</v>
      </c>
      <c r="E118" s="89" t="s">
        <v>72</v>
      </c>
      <c r="F118" s="87">
        <f>C111+D111+53</f>
        <v>53</v>
      </c>
      <c r="G118" s="87">
        <f>E111</f>
        <v>0</v>
      </c>
      <c r="H118" s="90">
        <f>(F118*G118/1000000)*2</f>
        <v>0</v>
      </c>
      <c r="I118" s="99">
        <v>500</v>
      </c>
    </row>
    <row r="119" spans="1:11" ht="13.2">
      <c r="A119" s="260"/>
      <c r="B119" s="120"/>
      <c r="C119" s="120"/>
      <c r="D119" s="120"/>
      <c r="E119" s="125" t="s">
        <v>72</v>
      </c>
      <c r="F119" s="87">
        <f>C111+D111+55</f>
        <v>55</v>
      </c>
      <c r="G119" s="87">
        <f>E111</f>
        <v>0</v>
      </c>
      <c r="H119" s="90">
        <f>(F119*G119/1000000)*2</f>
        <v>0</v>
      </c>
      <c r="I119" s="87"/>
    </row>
    <row r="120" spans="1:11" ht="13.2">
      <c r="A120" s="260"/>
      <c r="B120" s="120"/>
      <c r="C120" s="120"/>
      <c r="D120" s="120"/>
      <c r="E120" s="125" t="s">
        <v>72</v>
      </c>
      <c r="F120" s="87">
        <f>C111+D111+59</f>
        <v>59</v>
      </c>
      <c r="G120" s="87">
        <f>E111</f>
        <v>0</v>
      </c>
      <c r="H120" s="90">
        <f>(F120*G120/1000000)*2</f>
        <v>0</v>
      </c>
      <c r="I120" s="87"/>
    </row>
  </sheetData>
  <mergeCells count="51">
    <mergeCell ref="L1:L2"/>
    <mergeCell ref="O1:P1"/>
    <mergeCell ref="A2:A12"/>
    <mergeCell ref="F2:G2"/>
    <mergeCell ref="J2:K2"/>
    <mergeCell ref="F8:G8"/>
    <mergeCell ref="L13:L14"/>
    <mergeCell ref="A14:A24"/>
    <mergeCell ref="F14:G14"/>
    <mergeCell ref="J14:K14"/>
    <mergeCell ref="F20:G20"/>
    <mergeCell ref="L25:L26"/>
    <mergeCell ref="A26:A36"/>
    <mergeCell ref="F26:G26"/>
    <mergeCell ref="J26:K26"/>
    <mergeCell ref="F32:G32"/>
    <mergeCell ref="L37:L38"/>
    <mergeCell ref="A38:A48"/>
    <mergeCell ref="F38:G38"/>
    <mergeCell ref="J38:K38"/>
    <mergeCell ref="F44:G44"/>
    <mergeCell ref="L49:L50"/>
    <mergeCell ref="A50:A60"/>
    <mergeCell ref="F50:G50"/>
    <mergeCell ref="J50:K50"/>
    <mergeCell ref="F56:G56"/>
    <mergeCell ref="L61:L62"/>
    <mergeCell ref="A62:A72"/>
    <mergeCell ref="F62:G62"/>
    <mergeCell ref="J62:K62"/>
    <mergeCell ref="F68:G68"/>
    <mergeCell ref="L73:L74"/>
    <mergeCell ref="A74:A84"/>
    <mergeCell ref="F74:G74"/>
    <mergeCell ref="J74:K74"/>
    <mergeCell ref="F80:G80"/>
    <mergeCell ref="L85:L86"/>
    <mergeCell ref="A86:A96"/>
    <mergeCell ref="F86:G86"/>
    <mergeCell ref="J86:K86"/>
    <mergeCell ref="F92:G92"/>
    <mergeCell ref="L97:L98"/>
    <mergeCell ref="A98:A108"/>
    <mergeCell ref="F98:G98"/>
    <mergeCell ref="J98:K98"/>
    <mergeCell ref="F104:G104"/>
    <mergeCell ref="L109:L110"/>
    <mergeCell ref="A110:A120"/>
    <mergeCell ref="F110:G110"/>
    <mergeCell ref="J110:K110"/>
    <mergeCell ref="F116:G116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C000"/>
    <pageSetUpPr fitToPage="1"/>
  </sheetPr>
  <dimension ref="A1:Q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7" ht="13.2">
      <c r="M1" s="266" t="s">
        <v>73</v>
      </c>
      <c r="N1" s="266"/>
      <c r="O1" s="108" t="s">
        <v>74</v>
      </c>
      <c r="P1" s="108" t="s">
        <v>89</v>
      </c>
      <c r="Q1" s="108" t="s">
        <v>75</v>
      </c>
    </row>
    <row r="2" spans="1:17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09">
        <v>30</v>
      </c>
      <c r="P2" s="109">
        <v>25</v>
      </c>
      <c r="Q2" s="109">
        <v>25</v>
      </c>
    </row>
    <row r="3" spans="1:17" ht="13.2">
      <c r="A3" s="260"/>
      <c r="B3" s="118">
        <f>VLOOKUP(Kalk!K4,$M$2:$N$8,2,0)</f>
        <v>8</v>
      </c>
      <c r="C3" s="85">
        <f>Kalk!C4</f>
        <v>0</v>
      </c>
      <c r="D3" s="85">
        <f>Kalk!E4</f>
        <v>0</v>
      </c>
      <c r="E3" s="85">
        <f>Kalk!G4</f>
        <v>0</v>
      </c>
      <c r="F3" s="87">
        <f>2*(C3+D3)+4*B3+B10</f>
        <v>72</v>
      </c>
      <c r="G3" s="91">
        <f>(D3+B3)/2+E3+4*B3+(D3+B3)/2+D10</f>
        <v>70</v>
      </c>
      <c r="H3" s="90">
        <f>(F3*G3)/1000000</f>
        <v>5.0400000000000002E-3</v>
      </c>
      <c r="I3" s="91">
        <f>$I$10/H3</f>
        <v>99206.349206349201</v>
      </c>
      <c r="J3" s="92">
        <f>C3+D3+4*B3</f>
        <v>32</v>
      </c>
      <c r="K3" s="92">
        <f>(D3+B3)/2+E3+4*B3</f>
        <v>36</v>
      </c>
      <c r="M3" s="109" t="s">
        <v>77</v>
      </c>
      <c r="N3" s="110">
        <v>3</v>
      </c>
      <c r="O3" s="109">
        <v>30</v>
      </c>
      <c r="P3" s="109">
        <v>25</v>
      </c>
      <c r="Q3" s="109">
        <v>30</v>
      </c>
    </row>
    <row r="4" spans="1:17" ht="13.2">
      <c r="A4" s="260"/>
      <c r="B4" s="89"/>
      <c r="C4" s="6"/>
      <c r="D4" s="6"/>
      <c r="E4" s="6"/>
      <c r="F4" s="91">
        <f>2*(C3+D3)+4*B3+B10</f>
        <v>72</v>
      </c>
      <c r="G4" s="91">
        <f>(D3+B3)/2+E3+4*B3+(D3+B3)/2+D10</f>
        <v>70</v>
      </c>
      <c r="H4" s="90">
        <f>(F4*G4)/1000000</f>
        <v>5.0400000000000002E-3</v>
      </c>
      <c r="I4" s="91">
        <f>$I$10/H4</f>
        <v>99206.349206349201</v>
      </c>
      <c r="J4" s="92">
        <f>C3+D3+4*B3</f>
        <v>32</v>
      </c>
      <c r="K4" s="92">
        <f>(D3+B3)/2+E3+4*B3</f>
        <v>36</v>
      </c>
      <c r="M4" s="111" t="s">
        <v>78</v>
      </c>
      <c r="N4" s="112">
        <v>5</v>
      </c>
      <c r="O4" s="109">
        <v>30</v>
      </c>
      <c r="P4" s="109">
        <v>30</v>
      </c>
      <c r="Q4" s="109">
        <v>30</v>
      </c>
    </row>
    <row r="5" spans="1:17" ht="13.2">
      <c r="A5" s="260"/>
      <c r="B5" s="89"/>
      <c r="C5" s="6"/>
      <c r="D5" s="6"/>
      <c r="E5" s="6"/>
      <c r="F5" s="91">
        <f>2*(C3+D3)+4*B3+B10</f>
        <v>72</v>
      </c>
      <c r="G5" s="91">
        <f>(D3+B3)/2+E3+4*B3+(D3+B3)/2+D10</f>
        <v>70</v>
      </c>
      <c r="H5" s="90">
        <f>(F5*G5)/1000000</f>
        <v>5.0400000000000002E-3</v>
      </c>
      <c r="I5" s="91">
        <f>$I$10/H5</f>
        <v>99206.349206349201</v>
      </c>
      <c r="J5" s="92">
        <f>C3+D3+4*B3</f>
        <v>32</v>
      </c>
      <c r="K5" s="92">
        <f>(D3+B3)/2+E3+4*B3</f>
        <v>36</v>
      </c>
      <c r="M5" s="113" t="s">
        <v>79</v>
      </c>
      <c r="N5" s="114">
        <v>6</v>
      </c>
      <c r="O5" s="109">
        <v>40</v>
      </c>
      <c r="P5" s="109">
        <v>35</v>
      </c>
      <c r="Q5" s="109">
        <v>30</v>
      </c>
    </row>
    <row r="6" spans="1:17" ht="13.2">
      <c r="A6" s="260"/>
      <c r="B6" s="89"/>
      <c r="C6" s="6"/>
      <c r="D6" s="6"/>
      <c r="E6" s="6"/>
      <c r="F6" s="91">
        <f>2*(C3+D3)+4*B3+B10</f>
        <v>72</v>
      </c>
      <c r="G6" s="91">
        <f>(D3+B3)/2+E3+4*B3+(D3+B3)/2+D10</f>
        <v>70</v>
      </c>
      <c r="H6" s="90">
        <f>(F6*G6)/1000000</f>
        <v>5.0400000000000002E-3</v>
      </c>
      <c r="I6" s="91">
        <f>$I$10/H6</f>
        <v>99206.349206349201</v>
      </c>
      <c r="J6" s="92">
        <f>C3+D3+4*B3</f>
        <v>32</v>
      </c>
      <c r="K6" s="92">
        <f>(D3+B3)/2+E3+4*B3</f>
        <v>36</v>
      </c>
      <c r="M6" s="115" t="s">
        <v>80</v>
      </c>
      <c r="N6" s="114">
        <v>8</v>
      </c>
      <c r="O6" s="109">
        <v>40</v>
      </c>
      <c r="P6" s="109">
        <v>40</v>
      </c>
      <c r="Q6" s="109">
        <v>30</v>
      </c>
    </row>
    <row r="7" spans="1:17" ht="13.2">
      <c r="A7" s="260"/>
      <c r="B7" s="89"/>
      <c r="C7" s="110"/>
      <c r="D7" s="117"/>
      <c r="E7" s="119"/>
      <c r="F7" s="110"/>
      <c r="G7" s="110"/>
    </row>
    <row r="8" spans="1:17" ht="12.9" customHeight="1">
      <c r="A8" s="260"/>
      <c r="B8" s="111"/>
      <c r="C8" s="112"/>
      <c r="D8" s="120"/>
      <c r="E8" s="119"/>
      <c r="F8" s="121"/>
      <c r="G8" s="121"/>
      <c r="H8" s="87"/>
      <c r="I8" s="264" t="s">
        <v>63</v>
      </c>
    </row>
    <row r="9" spans="1:17" ht="13.2">
      <c r="A9" s="260"/>
      <c r="B9" s="108" t="s">
        <v>87</v>
      </c>
      <c r="C9" s="116" t="s">
        <v>90</v>
      </c>
      <c r="D9" s="116" t="s">
        <v>88</v>
      </c>
      <c r="E9" s="111"/>
      <c r="F9" s="110"/>
      <c r="G9" s="110"/>
      <c r="H9" s="90"/>
      <c r="I9" s="264"/>
    </row>
    <row r="10" spans="1:17" ht="13.2">
      <c r="A10" s="260"/>
      <c r="B10" s="118">
        <f>VLOOKUP(Kalk!K4,$M$2:$Q$8,3,0)</f>
        <v>40</v>
      </c>
      <c r="C10" s="118">
        <f>VLOOKUP(Kalk!K4,$M$2:$Q$8,4,0)</f>
        <v>40</v>
      </c>
      <c r="D10" s="118">
        <f>VLOOKUP(Kalk!K4,$M$2:$Q$8,5,0)</f>
        <v>30</v>
      </c>
      <c r="E10" s="111"/>
      <c r="F10" s="110"/>
      <c r="G10" s="110"/>
      <c r="H10" s="90"/>
      <c r="I10" s="99">
        <v>500</v>
      </c>
    </row>
    <row r="11" spans="1:17" ht="13.2">
      <c r="A11" s="260"/>
    </row>
    <row r="12" spans="1:17" ht="13.2">
      <c r="A12" s="260"/>
    </row>
    <row r="13" spans="1:17" ht="13.2"/>
    <row r="14" spans="1:17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7" ht="13.2">
      <c r="A15" s="260"/>
      <c r="B15" s="118">
        <f>VLOOKUP(Kalk!K8,$M$2:$N$8,2,0)</f>
        <v>8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2*(C15+D15)+4*B15+B22</f>
        <v>72</v>
      </c>
      <c r="G15" s="91">
        <f>(D15+B15)/2+E15+4*B15+(D15+B15)/2+D22</f>
        <v>70</v>
      </c>
      <c r="H15" s="90">
        <f>(F15*G15)/1000000</f>
        <v>5.0400000000000002E-3</v>
      </c>
      <c r="I15" s="91">
        <f>$I$22/H15</f>
        <v>99206.349206349201</v>
      </c>
      <c r="J15" s="92">
        <f>C15+D15+4*B15</f>
        <v>32</v>
      </c>
      <c r="K15" s="92">
        <f>(D15+B15)/2+E15+4*B15</f>
        <v>36</v>
      </c>
    </row>
    <row r="16" spans="1:17" ht="13.2">
      <c r="A16" s="260"/>
      <c r="B16" s="89"/>
      <c r="C16" s="6"/>
      <c r="D16" s="6"/>
      <c r="E16" s="6"/>
      <c r="F16" s="91">
        <f>2*(C15+D15)+4*B15+B22</f>
        <v>72</v>
      </c>
      <c r="G16" s="91">
        <f>(D15+B15)/2+E15+4*B15+(D15+B15)/2+D22</f>
        <v>70</v>
      </c>
      <c r="H16" s="90">
        <f>(F16*G16)/1000000</f>
        <v>5.0400000000000002E-3</v>
      </c>
      <c r="I16" s="91">
        <f>$I$22/H16</f>
        <v>99206.349206349201</v>
      </c>
      <c r="J16" s="92">
        <f>C15+D15+4*B15</f>
        <v>32</v>
      </c>
      <c r="K16" s="92">
        <f>(D15+B15)/2+E15+4*B15</f>
        <v>36</v>
      </c>
    </row>
    <row r="17" spans="1:11" ht="13.2">
      <c r="A17" s="260"/>
      <c r="B17" s="89"/>
      <c r="C17" s="6"/>
      <c r="D17" s="6"/>
      <c r="E17" s="6"/>
      <c r="F17" s="91">
        <f>2*(C15+D15)+4*B15+B22</f>
        <v>72</v>
      </c>
      <c r="G17" s="91">
        <f>(D15+B15)/2+E15+4*B15+(D15+B15)/2+D22</f>
        <v>70</v>
      </c>
      <c r="H17" s="90">
        <f>(F17*G17)/1000000</f>
        <v>5.0400000000000002E-3</v>
      </c>
      <c r="I17" s="91">
        <f>$I$22/H17</f>
        <v>99206.349206349201</v>
      </c>
      <c r="J17" s="92">
        <f>C15+D15+4*B15</f>
        <v>32</v>
      </c>
      <c r="K17" s="92">
        <f>(D15+B15)/2+E15+4*B15</f>
        <v>36</v>
      </c>
    </row>
    <row r="18" spans="1:11" ht="13.2">
      <c r="A18" s="260"/>
      <c r="B18" s="89"/>
      <c r="C18" s="6"/>
      <c r="D18" s="6"/>
      <c r="E18" s="6"/>
      <c r="F18" s="91">
        <f>2*(C15+D15)+4*B15+B22</f>
        <v>72</v>
      </c>
      <c r="G18" s="91">
        <f>(D15+B15)/2+E15+4*B15+(D15+B15)/2+D22</f>
        <v>70</v>
      </c>
      <c r="H18" s="90">
        <f>(F18*G18)/1000000</f>
        <v>5.0400000000000002E-3</v>
      </c>
      <c r="I18" s="91">
        <f>$I$22/H18</f>
        <v>99206.349206349201</v>
      </c>
      <c r="J18" s="92">
        <f>C15+D15+4*B15</f>
        <v>32</v>
      </c>
      <c r="K18" s="92">
        <f>(D15+B15)/2+E15+4*B15</f>
        <v>36</v>
      </c>
    </row>
    <row r="19" spans="1:11" ht="13.2">
      <c r="A19" s="260"/>
      <c r="B19" s="89"/>
      <c r="C19" s="110"/>
      <c r="D19" s="117"/>
      <c r="E19" s="119"/>
      <c r="F19" s="110"/>
      <c r="G19" s="110"/>
    </row>
    <row r="20" spans="1:11" ht="12.9" customHeight="1">
      <c r="A20" s="260"/>
      <c r="B20" s="111"/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08" t="s">
        <v>87</v>
      </c>
      <c r="C21" s="116" t="s">
        <v>90</v>
      </c>
      <c r="D21" s="116" t="s">
        <v>88</v>
      </c>
      <c r="E21" s="111"/>
      <c r="F21" s="110"/>
      <c r="G21" s="110"/>
      <c r="H21" s="90"/>
      <c r="I21" s="264"/>
    </row>
    <row r="22" spans="1:11" ht="13.2">
      <c r="A22" s="260"/>
      <c r="B22" s="118">
        <f>VLOOKUP(Kalk!K8,$M$2:$Q$8,3,0)</f>
        <v>40</v>
      </c>
      <c r="C22" s="118">
        <f>VLOOKUP(Kalk!K8,$M$2:$Q$8,4,0)</f>
        <v>40</v>
      </c>
      <c r="D22" s="118">
        <f>VLOOKUP(Kalk!K8,$M$2:$Q$8,5,0)</f>
        <v>30</v>
      </c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2*(C27+D27)+4*B27+B34</f>
        <v>42</v>
      </c>
      <c r="G27" s="91">
        <f>(D27+B27)/2+E27+4*B27+(D27+B27)/2+D34</f>
        <v>45</v>
      </c>
      <c r="H27" s="90">
        <f>(F27*G27)/1000000</f>
        <v>1.89E-3</v>
      </c>
      <c r="I27" s="91">
        <f>$I$34/H27</f>
        <v>264550.26455026458</v>
      </c>
      <c r="J27" s="92">
        <f>C27+D27+4*B27</f>
        <v>12</v>
      </c>
      <c r="K27" s="92">
        <f>(D27+B27)/2+E27+4*B27</f>
        <v>13.5</v>
      </c>
    </row>
    <row r="28" spans="1:11" ht="13.2">
      <c r="A28" s="260"/>
      <c r="B28" s="89"/>
      <c r="C28" s="6"/>
      <c r="D28" s="6"/>
      <c r="E28" s="6"/>
      <c r="F28" s="91">
        <f>2*(C27+D27)+4*B27+B34</f>
        <v>42</v>
      </c>
      <c r="G28" s="91">
        <f>(D27+B27)/2+E27+4*B27+(D27+B27)/2+D34</f>
        <v>45</v>
      </c>
      <c r="H28" s="93">
        <f>F28*G28/1000000</f>
        <v>1.89E-3</v>
      </c>
      <c r="I28" s="91">
        <f>$I$34/H28</f>
        <v>264550.26455026458</v>
      </c>
      <c r="J28" s="92">
        <f>C27+D27+4*B27</f>
        <v>12</v>
      </c>
      <c r="K28" s="92">
        <f>(D27+B27)/2+E27+4*B27</f>
        <v>13.5</v>
      </c>
    </row>
    <row r="29" spans="1:11" ht="13.2">
      <c r="A29" s="260"/>
      <c r="B29" s="89"/>
      <c r="C29" s="6"/>
      <c r="D29" s="6"/>
      <c r="E29" s="6"/>
      <c r="F29" s="91">
        <f>2*(C27+D27)+4*B27+B34</f>
        <v>42</v>
      </c>
      <c r="G29" s="91">
        <f>(D27+B27)/2+E27+4*B27+(D27+B27)/2+D34</f>
        <v>45</v>
      </c>
      <c r="H29" s="93">
        <f>F29*G29/1000000</f>
        <v>1.89E-3</v>
      </c>
      <c r="I29" s="91">
        <f>$I$34/H29</f>
        <v>264550.26455026458</v>
      </c>
      <c r="J29" s="92">
        <f>C27+D27+4*B27</f>
        <v>12</v>
      </c>
      <c r="K29" s="92">
        <f>(D27+B27)/2+E27+4*B27</f>
        <v>13.5</v>
      </c>
    </row>
    <row r="30" spans="1:11" ht="13.2">
      <c r="A30" s="260"/>
      <c r="B30" s="89"/>
      <c r="C30" s="6"/>
      <c r="D30" s="6"/>
      <c r="E30" s="6"/>
      <c r="F30" s="91">
        <f>2*(C27+D27)+4*B27+B34</f>
        <v>42</v>
      </c>
      <c r="G30" s="91">
        <f>(D27+B27)/2+E27+4*B27+(D27+B27)/2+D34</f>
        <v>45</v>
      </c>
      <c r="H30" s="93">
        <f>F30*G30/1000000</f>
        <v>1.89E-3</v>
      </c>
      <c r="I30" s="91">
        <f>$I$34/H30</f>
        <v>264550.26455026458</v>
      </c>
      <c r="J30" s="92">
        <f>C27+D27+4*B27</f>
        <v>12</v>
      </c>
      <c r="K30" s="92">
        <f>(D27+B27)/2+E27+4*B27</f>
        <v>13.5</v>
      </c>
    </row>
    <row r="31" spans="1:11" ht="13.2">
      <c r="A31" s="260"/>
      <c r="B31" s="89"/>
      <c r="C31" s="110"/>
      <c r="D31" s="117"/>
      <c r="E31" s="119"/>
      <c r="F31" s="110"/>
      <c r="G31" s="110"/>
    </row>
    <row r="32" spans="1:11" ht="12.9" customHeight="1">
      <c r="A32" s="260"/>
      <c r="B32" s="111"/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08" t="s">
        <v>87</v>
      </c>
      <c r="C33" s="116" t="s">
        <v>90</v>
      </c>
      <c r="D33" s="116" t="s">
        <v>88</v>
      </c>
      <c r="E33" s="111"/>
      <c r="F33" s="110"/>
      <c r="G33" s="110"/>
      <c r="H33" s="90"/>
      <c r="I33" s="264"/>
    </row>
    <row r="34" spans="1:11" ht="13.2">
      <c r="A34" s="260"/>
      <c r="B34" s="118">
        <f>VLOOKUP(Kalk!K12,$M$2:$Q$8,3,0)</f>
        <v>30</v>
      </c>
      <c r="C34" s="118">
        <f>VLOOKUP(Kalk!K12,$M$2:$Q$8,4,0)</f>
        <v>25</v>
      </c>
      <c r="D34" s="118">
        <f>VLOOKUP(Kalk!K12,$M$2:$Q$8,5,0)</f>
        <v>30</v>
      </c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2*(C39+D39)+4*B39+B46</f>
        <v>42</v>
      </c>
      <c r="G39" s="91">
        <f>(D39+B39)/2+E39+4*B39+(D39+B39)/2+D46</f>
        <v>45</v>
      </c>
      <c r="H39" s="90">
        <f>(F39*G39)/1000000</f>
        <v>1.89E-3</v>
      </c>
      <c r="I39" s="91">
        <f>$I$46/H39</f>
        <v>264550.26455026458</v>
      </c>
      <c r="J39" s="92">
        <f>C39+D39+4*B39</f>
        <v>12</v>
      </c>
      <c r="K39" s="92">
        <f>(D39+B39)/2+E39+4*B39</f>
        <v>13.5</v>
      </c>
    </row>
    <row r="40" spans="1:11" ht="13.2">
      <c r="A40" s="260"/>
      <c r="B40" s="89"/>
      <c r="C40" s="6"/>
      <c r="D40" s="6"/>
      <c r="E40" s="6"/>
      <c r="F40" s="91">
        <f>2*(C39+D39)+4*B39+B46</f>
        <v>42</v>
      </c>
      <c r="G40" s="91">
        <f>(D39+B39)/2+E39+4*B39+(D39+B39)/2+D46</f>
        <v>45</v>
      </c>
      <c r="H40" s="93">
        <f>F40*G40/1000000</f>
        <v>1.89E-3</v>
      </c>
      <c r="I40" s="91">
        <f>$I$46/H40</f>
        <v>264550.26455026458</v>
      </c>
      <c r="J40" s="92">
        <f>C39+D39+4*B39</f>
        <v>12</v>
      </c>
      <c r="K40" s="92">
        <f>(D39+B39)/2+E39+4*B39</f>
        <v>13.5</v>
      </c>
    </row>
    <row r="41" spans="1:11" ht="13.2">
      <c r="A41" s="260"/>
      <c r="B41" s="89"/>
      <c r="C41" s="6"/>
      <c r="D41" s="6"/>
      <c r="E41" s="6"/>
      <c r="F41" s="91">
        <f>2*(C39+D39)+4*B39+B46</f>
        <v>42</v>
      </c>
      <c r="G41" s="91">
        <f>(D39+B39)/2+E39+4*B39+(D39+B39)/2+D46</f>
        <v>45</v>
      </c>
      <c r="H41" s="93">
        <f>F41*G41/1000000</f>
        <v>1.89E-3</v>
      </c>
      <c r="I41" s="91">
        <f>$I$46/H41</f>
        <v>264550.26455026458</v>
      </c>
      <c r="J41" s="92">
        <f>C39+D39+4*B39</f>
        <v>12</v>
      </c>
      <c r="K41" s="92">
        <f>(D39+B39)/2+E39+4*B39</f>
        <v>13.5</v>
      </c>
    </row>
    <row r="42" spans="1:11" ht="13.2">
      <c r="A42" s="260"/>
      <c r="B42" s="89"/>
      <c r="C42" s="6"/>
      <c r="D42" s="6"/>
      <c r="E42" s="6"/>
      <c r="F42" s="91">
        <f>2*(C39+D39)+4*B39+B46</f>
        <v>42</v>
      </c>
      <c r="G42" s="91">
        <f>(D39+B39)/2+E39+4*B39+(D39+B39)/2+D46</f>
        <v>45</v>
      </c>
      <c r="H42" s="93">
        <f>F42*G42/1000000</f>
        <v>1.89E-3</v>
      </c>
      <c r="I42" s="91">
        <f>$I$46/H42</f>
        <v>264550.26455026458</v>
      </c>
      <c r="J42" s="92">
        <f>C39+D39+4*B39</f>
        <v>12</v>
      </c>
      <c r="K42" s="92">
        <f>(D39+B39)/2+E39+4*B39</f>
        <v>13.5</v>
      </c>
    </row>
    <row r="43" spans="1:11" ht="13.2">
      <c r="A43" s="260"/>
      <c r="B43" s="89"/>
      <c r="C43" s="110"/>
      <c r="D43" s="117"/>
      <c r="E43" s="119"/>
      <c r="F43" s="110"/>
      <c r="G43" s="110"/>
    </row>
    <row r="44" spans="1:11" ht="12.9" customHeight="1">
      <c r="A44" s="260"/>
      <c r="B44" s="111"/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08" t="s">
        <v>87</v>
      </c>
      <c r="C45" s="116" t="s">
        <v>90</v>
      </c>
      <c r="D45" s="116" t="s">
        <v>88</v>
      </c>
      <c r="E45" s="111"/>
      <c r="F45" s="110"/>
      <c r="G45" s="110"/>
      <c r="H45" s="90"/>
      <c r="I45" s="264"/>
    </row>
    <row r="46" spans="1:11" ht="13.2">
      <c r="A46" s="260"/>
      <c r="B46" s="118">
        <f>VLOOKUP(Kalk!K16,$M$2:$Q$8,3,0)</f>
        <v>30</v>
      </c>
      <c r="C46" s="118">
        <f>VLOOKUP(Kalk!K16,$M$2:$Q$8,4,0)</f>
        <v>25</v>
      </c>
      <c r="D46" s="118">
        <f>VLOOKUP(Kalk!K16,$M$2:$Q$8,5,0)</f>
        <v>30</v>
      </c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2*(C51+D51)+4*B51+B58</f>
        <v>42</v>
      </c>
      <c r="G51" s="91">
        <f>(D51+B51)/2+E51+4*B51+(D51+B51)/2+D58</f>
        <v>45</v>
      </c>
      <c r="H51" s="90">
        <f>(F51*G51)/1000000</f>
        <v>1.89E-3</v>
      </c>
      <c r="I51" s="91">
        <f>$I$58/H51</f>
        <v>264550.26455026458</v>
      </c>
      <c r="J51" s="92">
        <f>C51+D51+4*B51</f>
        <v>12</v>
      </c>
      <c r="K51" s="92">
        <f>(D51+B51)/2+E51+4*B51</f>
        <v>13.5</v>
      </c>
    </row>
    <row r="52" spans="1:11" ht="13.2">
      <c r="A52" s="260"/>
      <c r="B52" s="89"/>
      <c r="C52" s="6"/>
      <c r="D52" s="6"/>
      <c r="E52" s="6"/>
      <c r="F52" s="91">
        <f>2*(C51+D51)+4*B51+B58</f>
        <v>42</v>
      </c>
      <c r="G52" s="91">
        <f>(D51+B51)/2+E51+4*B51+(D51+B51)/2+D58</f>
        <v>45</v>
      </c>
      <c r="H52" s="93">
        <f>F52*G52/1000000</f>
        <v>1.89E-3</v>
      </c>
      <c r="I52" s="91">
        <f>$I$58/H52</f>
        <v>264550.26455026458</v>
      </c>
      <c r="J52" s="92">
        <f>C51+D51+4*B51</f>
        <v>12</v>
      </c>
      <c r="K52" s="92">
        <f>(D51+B51)/2+E51+4*B51</f>
        <v>13.5</v>
      </c>
    </row>
    <row r="53" spans="1:11" ht="13.2">
      <c r="A53" s="260"/>
      <c r="B53" s="89"/>
      <c r="C53" s="6"/>
      <c r="D53" s="6"/>
      <c r="E53" s="6"/>
      <c r="F53" s="91">
        <f>2*(C51+D51)+4*B51+B58</f>
        <v>42</v>
      </c>
      <c r="G53" s="91">
        <f>(D51+B51)/2+E51+4*B51+(D51+B51)/2+D58</f>
        <v>45</v>
      </c>
      <c r="H53" s="93">
        <f>F53*G53/1000000</f>
        <v>1.89E-3</v>
      </c>
      <c r="I53" s="91">
        <f>$I$58/H53</f>
        <v>264550.26455026458</v>
      </c>
      <c r="J53" s="92">
        <f>C51+D51+4*B51</f>
        <v>12</v>
      </c>
      <c r="K53" s="92">
        <f>(D51+B51)/2+E51+4*B51</f>
        <v>13.5</v>
      </c>
    </row>
    <row r="54" spans="1:11" ht="13.2">
      <c r="A54" s="260"/>
      <c r="B54" s="89"/>
      <c r="C54" s="6"/>
      <c r="D54" s="6"/>
      <c r="E54" s="6"/>
      <c r="F54" s="91">
        <f>2*(C51+D51)+4*B51+B58</f>
        <v>42</v>
      </c>
      <c r="G54" s="91">
        <f>(D51+B51)/2+E51+4*B51+(D51+B51)/2+D58</f>
        <v>45</v>
      </c>
      <c r="H54" s="93">
        <f>F54*G54/1000000</f>
        <v>1.89E-3</v>
      </c>
      <c r="I54" s="91">
        <f>$I$58/H54</f>
        <v>264550.26455026458</v>
      </c>
      <c r="J54" s="92">
        <f>C51+D51+4*B51</f>
        <v>12</v>
      </c>
      <c r="K54" s="92">
        <f>(D51+B51)/2+E51+4*B51</f>
        <v>13.5</v>
      </c>
    </row>
    <row r="55" spans="1:11" ht="13.2">
      <c r="A55" s="260"/>
      <c r="B55" s="89"/>
      <c r="C55" s="110"/>
      <c r="D55" s="117"/>
      <c r="E55" s="119"/>
      <c r="F55" s="110"/>
      <c r="G55" s="110"/>
    </row>
    <row r="56" spans="1:11" ht="12.9" customHeight="1">
      <c r="A56" s="260"/>
      <c r="B56" s="111"/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08" t="s">
        <v>87</v>
      </c>
      <c r="C57" s="116" t="s">
        <v>90</v>
      </c>
      <c r="D57" s="116" t="s">
        <v>88</v>
      </c>
      <c r="E57" s="111"/>
      <c r="F57" s="110"/>
      <c r="G57" s="110"/>
      <c r="H57" s="90"/>
      <c r="I57" s="264"/>
    </row>
    <row r="58" spans="1:11" ht="13.2">
      <c r="A58" s="260"/>
      <c r="B58" s="118">
        <f>VLOOKUP(Kalk!K20,$M$2:$Q$8,3,0)</f>
        <v>30</v>
      </c>
      <c r="C58" s="118">
        <f>VLOOKUP(Kalk!K20,$M$2:$Q$8,4,0)</f>
        <v>25</v>
      </c>
      <c r="D58" s="118">
        <f>VLOOKUP(Kalk!K20,$M$2:$Q$8,5,0)</f>
        <v>30</v>
      </c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2*(C63+D63)+4*B63+B70</f>
        <v>42</v>
      </c>
      <c r="G63" s="91">
        <f>(D63+B63)/2+E63+4*B63+(D63+B63)/2+D70</f>
        <v>45</v>
      </c>
      <c r="H63" s="90">
        <f>(F63*G63)/1000000</f>
        <v>1.89E-3</v>
      </c>
      <c r="I63" s="91">
        <f>$I$70/H63</f>
        <v>264550.26455026458</v>
      </c>
      <c r="J63" s="92">
        <f>C63+D63+4*B63</f>
        <v>12</v>
      </c>
      <c r="K63" s="92">
        <f>(D63+B63)/2+E63+4*B63</f>
        <v>13.5</v>
      </c>
    </row>
    <row r="64" spans="1:11" ht="13.2">
      <c r="A64" s="260"/>
      <c r="B64" s="89"/>
      <c r="C64" s="6"/>
      <c r="D64" s="6"/>
      <c r="E64" s="6"/>
      <c r="F64" s="91">
        <f>2*(C63+D63)+4*B63+B70</f>
        <v>42</v>
      </c>
      <c r="G64" s="91">
        <f>(D63+B63)/2+E63+4*B63+(D63+B63)/2+D70</f>
        <v>45</v>
      </c>
      <c r="H64" s="93">
        <f>F64*G64/1000000</f>
        <v>1.89E-3</v>
      </c>
      <c r="I64" s="91">
        <f>$I$70/H64</f>
        <v>264550.26455026458</v>
      </c>
      <c r="J64" s="92">
        <f>C63+D63+4*B63</f>
        <v>12</v>
      </c>
      <c r="K64" s="92">
        <f>(D63+B63)/2+E63+4*B63</f>
        <v>13.5</v>
      </c>
    </row>
    <row r="65" spans="1:11" ht="13.2">
      <c r="A65" s="260"/>
      <c r="B65" s="89"/>
      <c r="C65" s="6"/>
      <c r="D65" s="6"/>
      <c r="E65" s="6"/>
      <c r="F65" s="91">
        <f>2*(C63+D63)+4*B63+B70</f>
        <v>42</v>
      </c>
      <c r="G65" s="91">
        <f>(D63+B63)/2+E63+4*B63+(D63+B63)/2+D70</f>
        <v>45</v>
      </c>
      <c r="H65" s="93">
        <f>F65*G65/1000000</f>
        <v>1.89E-3</v>
      </c>
      <c r="I65" s="91">
        <f>$I$70/H65</f>
        <v>264550.26455026458</v>
      </c>
      <c r="J65" s="92">
        <f>C63+D63+4*B63</f>
        <v>12</v>
      </c>
      <c r="K65" s="92">
        <f>(D63+B63)/2+E63+4*B63</f>
        <v>13.5</v>
      </c>
    </row>
    <row r="66" spans="1:11" ht="13.2">
      <c r="A66" s="260"/>
      <c r="B66" s="89"/>
      <c r="C66" s="6"/>
      <c r="D66" s="6"/>
      <c r="E66" s="6"/>
      <c r="F66" s="91">
        <f>2*(C63+D63)+4*B63+B70</f>
        <v>42</v>
      </c>
      <c r="G66" s="91">
        <f>(D63+B63)/2+E63+4*B63+(D63+B63)/2+D70</f>
        <v>45</v>
      </c>
      <c r="H66" s="93">
        <f>F66*G66/1000000</f>
        <v>1.89E-3</v>
      </c>
      <c r="I66" s="91">
        <f>$I$70/H66</f>
        <v>264550.26455026458</v>
      </c>
      <c r="J66" s="92">
        <f>C63+D63+4*B63</f>
        <v>12</v>
      </c>
      <c r="K66" s="92">
        <f>(D63+B63)/2+E63+4*B63</f>
        <v>13.5</v>
      </c>
    </row>
    <row r="67" spans="1:11" ht="13.2">
      <c r="A67" s="260"/>
      <c r="B67" s="89"/>
      <c r="C67" s="110"/>
      <c r="D67" s="117"/>
      <c r="E67" s="119"/>
      <c r="F67" s="110"/>
      <c r="G67" s="110"/>
    </row>
    <row r="68" spans="1:11" ht="12.9" customHeight="1">
      <c r="A68" s="260"/>
      <c r="B68" s="111"/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08" t="s">
        <v>87</v>
      </c>
      <c r="C69" s="116" t="s">
        <v>90</v>
      </c>
      <c r="D69" s="116" t="s">
        <v>88</v>
      </c>
      <c r="E69" s="111"/>
      <c r="F69" s="110"/>
      <c r="G69" s="110"/>
      <c r="H69" s="90"/>
      <c r="I69" s="264"/>
    </row>
    <row r="70" spans="1:11" ht="13.2">
      <c r="A70" s="260"/>
      <c r="B70" s="118">
        <f>VLOOKUP(Kalk!K24,$M$2:$Q$8,3,0)</f>
        <v>30</v>
      </c>
      <c r="C70" s="118">
        <f>VLOOKUP(Kalk!K24,$M$2:$Q$8,4,0)</f>
        <v>25</v>
      </c>
      <c r="D70" s="118">
        <f>VLOOKUP(Kalk!K24,$M$2:$Q$8,5,0)</f>
        <v>30</v>
      </c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2*(C75+D75)+4*B75+B82</f>
        <v>42</v>
      </c>
      <c r="G75" s="91">
        <f>(D75+B75)/2+E75+4*B75+(D75+B75)/2+D82</f>
        <v>45</v>
      </c>
      <c r="H75" s="90">
        <f>(F75*G75)/1000000</f>
        <v>1.89E-3</v>
      </c>
      <c r="I75" s="91">
        <f>$I$82/H75</f>
        <v>264550.26455026458</v>
      </c>
      <c r="J75" s="92">
        <f>C75+D75+4*B75</f>
        <v>12</v>
      </c>
      <c r="K75" s="92">
        <f>(D75+B75)/2+E75+4*B75</f>
        <v>13.5</v>
      </c>
    </row>
    <row r="76" spans="1:11" ht="13.2">
      <c r="A76" s="260"/>
      <c r="B76" s="89"/>
      <c r="C76" s="6"/>
      <c r="D76" s="6"/>
      <c r="E76" s="6"/>
      <c r="F76" s="91">
        <f>2*(C75+D75)+4*B75+B82</f>
        <v>42</v>
      </c>
      <c r="G76" s="91">
        <f>(D75+B75)/2+E75+4*B75+(D75+B75)/2+D82</f>
        <v>45</v>
      </c>
      <c r="H76" s="93">
        <f>F76*G76/1000000</f>
        <v>1.89E-3</v>
      </c>
      <c r="I76" s="91">
        <f>$I$82/H76</f>
        <v>264550.26455026458</v>
      </c>
      <c r="J76" s="92">
        <f>C75+D75+4*B75</f>
        <v>12</v>
      </c>
      <c r="K76" s="92">
        <f>(D75+B75)/2+E75+4*B75</f>
        <v>13.5</v>
      </c>
    </row>
    <row r="77" spans="1:11" ht="13.2">
      <c r="A77" s="260"/>
      <c r="B77" s="89"/>
      <c r="C77" s="6"/>
      <c r="D77" s="6"/>
      <c r="E77" s="6"/>
      <c r="F77" s="91">
        <f>2*(C75+D75)+4*B75+B82</f>
        <v>42</v>
      </c>
      <c r="G77" s="91">
        <f>(D75+B75)/2+E75+4*B75+(D75+B75)/2+D82</f>
        <v>45</v>
      </c>
      <c r="H77" s="93">
        <f>F77*G77/1000000</f>
        <v>1.89E-3</v>
      </c>
      <c r="I77" s="91">
        <f>$I$82/H77</f>
        <v>264550.26455026458</v>
      </c>
      <c r="J77" s="92">
        <f>C75+D75+4*B75</f>
        <v>12</v>
      </c>
      <c r="K77" s="92">
        <f>(D75+B75)/2+E75+4*B75</f>
        <v>13.5</v>
      </c>
    </row>
    <row r="78" spans="1:11" ht="13.2">
      <c r="A78" s="260"/>
      <c r="B78" s="89"/>
      <c r="C78" s="6"/>
      <c r="D78" s="6"/>
      <c r="E78" s="6"/>
      <c r="F78" s="91">
        <f>2*(C75+D75)+4*B75+B82</f>
        <v>42</v>
      </c>
      <c r="G78" s="91">
        <f>(D75+B75)/2+E75+4*B75+(D75+B75)/2+D82</f>
        <v>45</v>
      </c>
      <c r="H78" s="93">
        <f>F78*G78/1000000</f>
        <v>1.89E-3</v>
      </c>
      <c r="I78" s="91">
        <f>$I$82/H78</f>
        <v>264550.26455026458</v>
      </c>
      <c r="J78" s="92">
        <f>C75+D75+4*B75</f>
        <v>12</v>
      </c>
      <c r="K78" s="92">
        <f>(D75+B75)/2+E75+4*B75</f>
        <v>13.5</v>
      </c>
    </row>
    <row r="79" spans="1:11" ht="13.2">
      <c r="A79" s="260"/>
      <c r="B79" s="89"/>
      <c r="C79" s="110"/>
      <c r="D79" s="117"/>
      <c r="E79" s="119"/>
      <c r="F79" s="110"/>
      <c r="G79" s="110"/>
    </row>
    <row r="80" spans="1:11" ht="12.9" customHeight="1">
      <c r="A80" s="260"/>
      <c r="B80" s="111"/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08" t="s">
        <v>87</v>
      </c>
      <c r="C81" s="116" t="s">
        <v>90</v>
      </c>
      <c r="D81" s="116" t="s">
        <v>88</v>
      </c>
      <c r="E81" s="111"/>
      <c r="F81" s="110"/>
      <c r="G81" s="110"/>
      <c r="H81" s="90"/>
      <c r="I81" s="264"/>
    </row>
    <row r="82" spans="1:11" ht="13.2">
      <c r="A82" s="260"/>
      <c r="B82" s="118">
        <f>VLOOKUP(Kalk!K28,$M$2:$Q$8,3,0)</f>
        <v>30</v>
      </c>
      <c r="C82" s="118">
        <f>VLOOKUP(Kalk!K28,$M$2:$Q$8,4,0)</f>
        <v>25</v>
      </c>
      <c r="D82" s="118">
        <f>VLOOKUP(Kalk!K28,$M$2:$Q$8,5,0)</f>
        <v>30</v>
      </c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2*(C87+D87)+4*B87+B94</f>
        <v>42</v>
      </c>
      <c r="G87" s="91">
        <f>(D87+B87)/2+E87+4*B87+(D87+B87)/2+D94</f>
        <v>45</v>
      </c>
      <c r="H87" s="90">
        <f>(F87*G87)/1000000</f>
        <v>1.89E-3</v>
      </c>
      <c r="I87" s="91">
        <f>$I$94/H87</f>
        <v>264550.26455026458</v>
      </c>
      <c r="J87" s="92">
        <f>C87+D87+4*B87</f>
        <v>12</v>
      </c>
      <c r="K87" s="92">
        <f>(D87+B87)/2+E87+4*B87</f>
        <v>13.5</v>
      </c>
    </row>
    <row r="88" spans="1:11" ht="13.2">
      <c r="A88" s="260"/>
      <c r="B88" s="89"/>
      <c r="C88" s="6"/>
      <c r="D88" s="6"/>
      <c r="E88" s="6"/>
      <c r="F88" s="91">
        <f>2*(C87+D87)+4*B87+B94</f>
        <v>42</v>
      </c>
      <c r="G88" s="91">
        <f>(D87+B87)/2+E87+4*B87+(D87+B87)/2+D94</f>
        <v>45</v>
      </c>
      <c r="H88" s="93">
        <f>F88*G88/1000000</f>
        <v>1.89E-3</v>
      </c>
      <c r="I88" s="91">
        <f>$I$94/H88</f>
        <v>264550.26455026458</v>
      </c>
      <c r="J88" s="92">
        <f>C87+D87+4*B87</f>
        <v>12</v>
      </c>
      <c r="K88" s="92">
        <f>(D87+B87)/2+E87+4*B87</f>
        <v>13.5</v>
      </c>
    </row>
    <row r="89" spans="1:11" ht="13.2">
      <c r="A89" s="260"/>
      <c r="B89" s="89"/>
      <c r="C89" s="6"/>
      <c r="D89" s="6"/>
      <c r="E89" s="6"/>
      <c r="F89" s="91">
        <f>2*(C87+D87)+4*B87+B94</f>
        <v>42</v>
      </c>
      <c r="G89" s="91">
        <f>(D87+B87)/2+E87+4*B87+(D87+B87)/2+D94</f>
        <v>45</v>
      </c>
      <c r="H89" s="93">
        <f>F89*G89/1000000</f>
        <v>1.89E-3</v>
      </c>
      <c r="I89" s="91">
        <f>$I$94/H89</f>
        <v>264550.26455026458</v>
      </c>
      <c r="J89" s="92">
        <f>C87+D87+4*B87</f>
        <v>12</v>
      </c>
      <c r="K89" s="92">
        <f>(D87+B87)/2+E87+4*B87</f>
        <v>13.5</v>
      </c>
    </row>
    <row r="90" spans="1:11" ht="13.2">
      <c r="A90" s="260"/>
      <c r="B90" s="89"/>
      <c r="C90" s="6"/>
      <c r="D90" s="6"/>
      <c r="E90" s="6"/>
      <c r="F90" s="91">
        <f>2*(C87+D87)+4*B87+B94</f>
        <v>42</v>
      </c>
      <c r="G90" s="91">
        <f>(D87+B87)/2+E87+4*B87+(D87+B87)/2+D94</f>
        <v>45</v>
      </c>
      <c r="H90" s="93">
        <f>F90*G90/1000000</f>
        <v>1.89E-3</v>
      </c>
      <c r="I90" s="91">
        <f>$I$94/H90</f>
        <v>264550.26455026458</v>
      </c>
      <c r="J90" s="92">
        <f>C87+D87+4*B87</f>
        <v>12</v>
      </c>
      <c r="K90" s="92">
        <f>(D87+B87)/2+E87+4*B87</f>
        <v>13.5</v>
      </c>
    </row>
    <row r="91" spans="1:11" ht="13.2">
      <c r="A91" s="260"/>
      <c r="B91" s="89"/>
      <c r="C91" s="110"/>
      <c r="D91" s="117"/>
      <c r="E91" s="119"/>
      <c r="F91" s="110"/>
      <c r="G91" s="110"/>
    </row>
    <row r="92" spans="1:11" ht="12.9" customHeight="1">
      <c r="A92" s="260"/>
      <c r="B92" s="111"/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08" t="s">
        <v>87</v>
      </c>
      <c r="C93" s="116" t="s">
        <v>90</v>
      </c>
      <c r="D93" s="116" t="s">
        <v>88</v>
      </c>
      <c r="E93" s="111"/>
      <c r="F93" s="110"/>
      <c r="G93" s="110"/>
      <c r="H93" s="90"/>
      <c r="I93" s="264"/>
    </row>
    <row r="94" spans="1:11" ht="13.2">
      <c r="A94" s="260"/>
      <c r="B94" s="118">
        <f>VLOOKUP(Kalk!K32,$M$2:$Q$8,3,0)</f>
        <v>30</v>
      </c>
      <c r="C94" s="118">
        <f>VLOOKUP(Kalk!K32,$M$2:$Q$8,4,0)</f>
        <v>25</v>
      </c>
      <c r="D94" s="118">
        <f>VLOOKUP(Kalk!K32,$M$2:$Q$8,5,0)</f>
        <v>30</v>
      </c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2*(C99+D99)+4*B99+B106</f>
        <v>42</v>
      </c>
      <c r="G99" s="91">
        <f>(D99+B99)/2+E99+4*B99+(D99+B99)/2+D106</f>
        <v>45</v>
      </c>
      <c r="H99" s="90">
        <f>(F99*G99)/1000000</f>
        <v>1.89E-3</v>
      </c>
      <c r="I99" s="91">
        <f>$I$106/H99</f>
        <v>264550.26455026458</v>
      </c>
      <c r="J99" s="92">
        <f>C99+D99+4*B99</f>
        <v>12</v>
      </c>
      <c r="K99" s="92">
        <f>(D99+B99)/2+E99+4*B99</f>
        <v>13.5</v>
      </c>
    </row>
    <row r="100" spans="1:11" ht="13.2">
      <c r="A100" s="260"/>
      <c r="B100" s="89"/>
      <c r="C100" s="6"/>
      <c r="D100" s="6"/>
      <c r="E100" s="6"/>
      <c r="F100" s="91">
        <f>2*(C99+D99)+4*B99+B106</f>
        <v>42</v>
      </c>
      <c r="G100" s="91">
        <f>(D99+B99)/2+E99+4*B99+(D99+B99)/2+D106</f>
        <v>45</v>
      </c>
      <c r="H100" s="93">
        <f>F100*G100/1000000</f>
        <v>1.89E-3</v>
      </c>
      <c r="I100" s="91">
        <f>$I$106/H100</f>
        <v>264550.26455026458</v>
      </c>
      <c r="J100" s="92">
        <f>C99+D99+4*B99</f>
        <v>12</v>
      </c>
      <c r="K100" s="92">
        <f>(D99+B99)/2+E99+4*B99</f>
        <v>13.5</v>
      </c>
    </row>
    <row r="101" spans="1:11" ht="13.2">
      <c r="A101" s="260"/>
      <c r="B101" s="89"/>
      <c r="C101" s="6"/>
      <c r="D101" s="6"/>
      <c r="E101" s="6"/>
      <c r="F101" s="91">
        <f>2*(C99+D99)+4*B99+B106</f>
        <v>42</v>
      </c>
      <c r="G101" s="91">
        <f>(D99+B99)/2+E99+4*B99+(D99+B99)/2+D106</f>
        <v>45</v>
      </c>
      <c r="H101" s="93">
        <f>F101*G101/1000000</f>
        <v>1.89E-3</v>
      </c>
      <c r="I101" s="91">
        <f>$I$106/H101</f>
        <v>264550.26455026458</v>
      </c>
      <c r="J101" s="92">
        <f>C99+D99+4*B99</f>
        <v>12</v>
      </c>
      <c r="K101" s="92">
        <f>(D99+B99)/2+E99+4*B99</f>
        <v>13.5</v>
      </c>
    </row>
    <row r="102" spans="1:11" ht="13.2">
      <c r="A102" s="260"/>
      <c r="B102" s="89"/>
      <c r="C102" s="6"/>
      <c r="D102" s="6"/>
      <c r="E102" s="6"/>
      <c r="F102" s="91">
        <f>2*(C99+D99)+4*B99+B106</f>
        <v>42</v>
      </c>
      <c r="G102" s="91">
        <f>(D99+B99)/2+E99+4*B99+(D99+B99)/2+D106</f>
        <v>45</v>
      </c>
      <c r="H102" s="93">
        <f>F102*G102/1000000</f>
        <v>1.89E-3</v>
      </c>
      <c r="I102" s="91">
        <f>$I$106/H102</f>
        <v>264550.26455026458</v>
      </c>
      <c r="J102" s="92">
        <f>C99+D99+4*B99</f>
        <v>12</v>
      </c>
      <c r="K102" s="92">
        <f>(D99+B99)/2+E99+4*B99</f>
        <v>13.5</v>
      </c>
    </row>
    <row r="103" spans="1:11" ht="13.2">
      <c r="A103" s="260"/>
      <c r="B103" s="89"/>
      <c r="C103" s="110"/>
      <c r="D103" s="117"/>
      <c r="E103" s="119"/>
      <c r="F103" s="110"/>
      <c r="G103" s="110"/>
    </row>
    <row r="104" spans="1:11" ht="12.9" customHeight="1">
      <c r="A104" s="260"/>
      <c r="B104" s="111"/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08" t="s">
        <v>87</v>
      </c>
      <c r="C105" s="116" t="s">
        <v>90</v>
      </c>
      <c r="D105" s="116" t="s">
        <v>88</v>
      </c>
      <c r="E105" s="111"/>
      <c r="F105" s="110"/>
      <c r="G105" s="110"/>
      <c r="H105" s="90"/>
      <c r="I105" s="264"/>
    </row>
    <row r="106" spans="1:11" ht="13.2">
      <c r="A106" s="260"/>
      <c r="B106" s="118">
        <f>VLOOKUP(Kalk!K36,$M$2:$Q$8,3,0)</f>
        <v>30</v>
      </c>
      <c r="C106" s="118">
        <f>VLOOKUP(Kalk!K36,$M$2:$Q$8,4,0)</f>
        <v>25</v>
      </c>
      <c r="D106" s="118">
        <f>VLOOKUP(Kalk!K36,$M$2:$Q$8,5,0)</f>
        <v>30</v>
      </c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2*(C111+D111)+4*B111+B118</f>
        <v>42</v>
      </c>
      <c r="G111" s="91">
        <f>(D111+B111)/2+E111+4*B111+(D111+B111)/2+D118</f>
        <v>45</v>
      </c>
      <c r="H111" s="90">
        <f>(F111*G111)/1000000</f>
        <v>1.89E-3</v>
      </c>
      <c r="I111" s="91">
        <f>$I$118/H111</f>
        <v>264550.26455026458</v>
      </c>
      <c r="J111" s="92">
        <f>C111+D111+4*B111</f>
        <v>12</v>
      </c>
      <c r="K111" s="92">
        <f>(D111+B111)/2+E111+4*B111</f>
        <v>13.5</v>
      </c>
    </row>
    <row r="112" spans="1:11" ht="13.2">
      <c r="A112" s="260"/>
      <c r="B112" s="89"/>
      <c r="C112" s="6"/>
      <c r="D112" s="6"/>
      <c r="E112" s="6"/>
      <c r="F112" s="91">
        <f>2*(C111+D111)+4*B111+B118</f>
        <v>42</v>
      </c>
      <c r="G112" s="91">
        <f>(D111+B111)/2+E111+4*B111+(D111+B111)/2+D118</f>
        <v>45</v>
      </c>
      <c r="H112" s="93">
        <f>F112*G112/1000000</f>
        <v>1.89E-3</v>
      </c>
      <c r="I112" s="91">
        <f>$I$118/H112</f>
        <v>264550.26455026458</v>
      </c>
      <c r="J112" s="92">
        <f>C111+D111+4*B111</f>
        <v>12</v>
      </c>
      <c r="K112" s="92">
        <f>(D111+B111)/2+E111+4*B111</f>
        <v>13.5</v>
      </c>
    </row>
    <row r="113" spans="1:11" ht="13.2">
      <c r="A113" s="260"/>
      <c r="B113" s="89"/>
      <c r="C113" s="6"/>
      <c r="D113" s="6"/>
      <c r="E113" s="6"/>
      <c r="F113" s="91">
        <f>2*(C111+D111)+4*B111+B118</f>
        <v>42</v>
      </c>
      <c r="G113" s="91">
        <f>(D99+B99)/2+E99+4*B99+(D99+B99)/2+D106</f>
        <v>45</v>
      </c>
      <c r="H113" s="93">
        <f>F113*G113/1000000</f>
        <v>1.89E-3</v>
      </c>
      <c r="I113" s="91">
        <f>$I$118/H113</f>
        <v>264550.26455026458</v>
      </c>
      <c r="J113" s="92">
        <f>C111+D111+4*B111</f>
        <v>12</v>
      </c>
      <c r="K113" s="92">
        <f>(D111+B111)/2+E111+4*B111</f>
        <v>13.5</v>
      </c>
    </row>
    <row r="114" spans="1:11" ht="13.2">
      <c r="A114" s="260"/>
      <c r="B114" s="89"/>
      <c r="C114" s="6"/>
      <c r="D114" s="6"/>
      <c r="E114" s="6"/>
      <c r="F114" s="91">
        <f>2*(C111+D111)+4*B111+B118</f>
        <v>42</v>
      </c>
      <c r="G114" s="91">
        <f>(D99+B99)/2+E99+4*B99+(D99+B99)/2+D106</f>
        <v>45</v>
      </c>
      <c r="H114" s="93">
        <f>F114*G114/1000000</f>
        <v>1.89E-3</v>
      </c>
      <c r="I114" s="91">
        <f>$I$118/H114</f>
        <v>264550.26455026458</v>
      </c>
      <c r="J114" s="92">
        <f>C111+D111+4*B111</f>
        <v>12</v>
      </c>
      <c r="K114" s="92">
        <f>(D111+B111)/2+E111+4*B111</f>
        <v>13.5</v>
      </c>
    </row>
    <row r="115" spans="1:11" ht="13.2">
      <c r="A115" s="260"/>
      <c r="B115" s="89"/>
      <c r="C115" s="110"/>
      <c r="D115" s="117"/>
      <c r="E115" s="119"/>
      <c r="F115" s="110"/>
      <c r="G115" s="110"/>
    </row>
    <row r="116" spans="1:11" ht="12.9" customHeight="1">
      <c r="A116" s="260"/>
      <c r="B116" s="111"/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08" t="s">
        <v>87</v>
      </c>
      <c r="C117" s="116" t="s">
        <v>90</v>
      </c>
      <c r="D117" s="116" t="s">
        <v>88</v>
      </c>
      <c r="E117" s="111"/>
      <c r="F117" s="110"/>
      <c r="G117" s="110"/>
      <c r="H117" s="90"/>
      <c r="I117" s="264"/>
    </row>
    <row r="118" spans="1:11" ht="13.2">
      <c r="A118" s="260"/>
      <c r="B118" s="118">
        <f>VLOOKUP(Kalk!K40,$M$2:$Q$8,3,0)</f>
        <v>30</v>
      </c>
      <c r="C118" s="118">
        <f>VLOOKUP(Kalk!K40,$M$2:$Q$8,4,0)</f>
        <v>25</v>
      </c>
      <c r="D118" s="118">
        <f>VLOOKUP(Kalk!K40,$M$2:$Q$8,5,0)</f>
        <v>30</v>
      </c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M1:N1"/>
    <mergeCell ref="A2:A12"/>
    <mergeCell ref="F2:G2"/>
    <mergeCell ref="J2:K2"/>
    <mergeCell ref="I8:I9"/>
    <mergeCell ref="A14:A24"/>
    <mergeCell ref="F14:G14"/>
    <mergeCell ref="J14:K14"/>
    <mergeCell ref="I20:I21"/>
    <mergeCell ref="A26:A36"/>
    <mergeCell ref="F26:G26"/>
    <mergeCell ref="J26:K26"/>
    <mergeCell ref="I32:I33"/>
    <mergeCell ref="A38:A48"/>
    <mergeCell ref="F38:G38"/>
    <mergeCell ref="J38:K38"/>
    <mergeCell ref="I44:I45"/>
    <mergeCell ref="A50:A60"/>
    <mergeCell ref="F50:G50"/>
    <mergeCell ref="J50:K50"/>
    <mergeCell ref="I56:I57"/>
    <mergeCell ref="A62:A72"/>
    <mergeCell ref="F62:G62"/>
    <mergeCell ref="J62:K62"/>
    <mergeCell ref="I68:I69"/>
    <mergeCell ref="A74:A84"/>
    <mergeCell ref="F74:G74"/>
    <mergeCell ref="J74:K74"/>
    <mergeCell ref="I80:I81"/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000"/>
    <pageSetUpPr fitToPage="1"/>
  </sheetPr>
  <dimension ref="A1:Q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7" ht="13.2">
      <c r="M1" s="266" t="s">
        <v>73</v>
      </c>
      <c r="N1" s="266"/>
      <c r="O1" s="108" t="s">
        <v>74</v>
      </c>
      <c r="P1" s="108" t="s">
        <v>89</v>
      </c>
      <c r="Q1" s="108" t="s">
        <v>75</v>
      </c>
    </row>
    <row r="2" spans="1:17" ht="15.6">
      <c r="A2" s="260">
        <v>1</v>
      </c>
      <c r="B2" s="116" t="s">
        <v>73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M2" s="109" t="s">
        <v>76</v>
      </c>
      <c r="N2" s="88">
        <v>2</v>
      </c>
      <c r="O2" s="109">
        <v>30</v>
      </c>
      <c r="P2" s="109">
        <v>25</v>
      </c>
      <c r="Q2" s="109">
        <v>25</v>
      </c>
    </row>
    <row r="3" spans="1:17" ht="13.2">
      <c r="A3" s="260"/>
      <c r="B3" s="118">
        <f>VLOOKUP(Kalk!K4,$M$2:$N$8,2,0)</f>
        <v>8</v>
      </c>
      <c r="C3" s="85">
        <f>Kalk!C4</f>
        <v>0</v>
      </c>
      <c r="D3" s="85">
        <f>Kalk!E4</f>
        <v>0</v>
      </c>
      <c r="E3" s="85">
        <f>Kalk!G4</f>
        <v>0</v>
      </c>
      <c r="F3" s="87">
        <f>2*(C3+D3)+4*B3+B10</f>
        <v>72</v>
      </c>
      <c r="G3" s="91">
        <f>C10+D3+E3+4*B3+(D3+B3)/2+D10</f>
        <v>106</v>
      </c>
      <c r="H3" s="90">
        <f>(F3*G3)/1000000</f>
        <v>7.6319999999999999E-3</v>
      </c>
      <c r="I3" s="91">
        <f>I10/H3</f>
        <v>65513.626834381554</v>
      </c>
      <c r="J3" s="92">
        <f>C3+D3+4*B3</f>
        <v>32</v>
      </c>
      <c r="K3" s="92">
        <f>C10+D3+E3+4*B3</f>
        <v>72</v>
      </c>
      <c r="M3" s="109" t="s">
        <v>77</v>
      </c>
      <c r="N3" s="110">
        <v>3</v>
      </c>
      <c r="O3" s="109">
        <v>30</v>
      </c>
      <c r="P3" s="109">
        <v>25</v>
      </c>
      <c r="Q3" s="109">
        <v>30</v>
      </c>
    </row>
    <row r="4" spans="1:17" ht="13.2">
      <c r="A4" s="260"/>
      <c r="B4" s="89"/>
      <c r="C4" s="6"/>
      <c r="D4" s="6"/>
      <c r="E4" s="6"/>
      <c r="F4" s="91">
        <f>2*(C3+D3)+4*B3+B10</f>
        <v>72</v>
      </c>
      <c r="G4" s="91">
        <f>C10+D3+E3+4*B3+(D3+B3)/2+D10</f>
        <v>106</v>
      </c>
      <c r="H4" s="90">
        <f>(F4*G4)/1000000</f>
        <v>7.6319999999999999E-3</v>
      </c>
      <c r="I4" s="91">
        <f>I10/H4</f>
        <v>65513.626834381554</v>
      </c>
      <c r="J4" s="92">
        <f>C3+D3+4*B3</f>
        <v>32</v>
      </c>
      <c r="K4" s="92">
        <f>C10+D3+E3+4*B3</f>
        <v>72</v>
      </c>
      <c r="M4" s="111" t="s">
        <v>78</v>
      </c>
      <c r="N4" s="112">
        <v>5</v>
      </c>
      <c r="O4" s="109">
        <v>30</v>
      </c>
      <c r="P4" s="109">
        <v>30</v>
      </c>
      <c r="Q4" s="109">
        <v>30</v>
      </c>
    </row>
    <row r="5" spans="1:17" ht="13.2">
      <c r="A5" s="260"/>
      <c r="B5" s="89"/>
      <c r="C5" s="6"/>
      <c r="D5" s="6"/>
      <c r="E5" s="6"/>
      <c r="F5" s="91">
        <f>2*(C3+D3)+4*B3+B10</f>
        <v>72</v>
      </c>
      <c r="G5" s="91">
        <f>C10+D3+E3+4*B3+(D3+B3)/2+D10</f>
        <v>106</v>
      </c>
      <c r="H5" s="90">
        <f>(F5*G5)/1000000</f>
        <v>7.6319999999999999E-3</v>
      </c>
      <c r="I5" s="91">
        <f>I10/H5</f>
        <v>65513.626834381554</v>
      </c>
      <c r="J5" s="92">
        <f>C3+D3+4*B3</f>
        <v>32</v>
      </c>
      <c r="K5" s="92">
        <f>C10+D3+E3+4*B3</f>
        <v>72</v>
      </c>
      <c r="M5" s="113" t="s">
        <v>79</v>
      </c>
      <c r="N5" s="114">
        <v>6</v>
      </c>
      <c r="O5" s="109">
        <v>40</v>
      </c>
      <c r="P5" s="109">
        <v>35</v>
      </c>
      <c r="Q5" s="109">
        <v>30</v>
      </c>
    </row>
    <row r="6" spans="1:17" ht="13.2">
      <c r="A6" s="260"/>
      <c r="B6" s="89"/>
      <c r="C6" s="6"/>
      <c r="D6" s="6"/>
      <c r="E6" s="6"/>
      <c r="F6" s="91">
        <f>2*(C3+D3)+4*B3+B10</f>
        <v>72</v>
      </c>
      <c r="G6" s="91">
        <f>C10+D3+E3+4*B3+(D3+B3)/2+D10</f>
        <v>106</v>
      </c>
      <c r="H6" s="90">
        <f>(F6*G6)/1000000</f>
        <v>7.6319999999999999E-3</v>
      </c>
      <c r="I6" s="91">
        <f>I10/H6</f>
        <v>65513.626834381554</v>
      </c>
      <c r="J6" s="92">
        <f>C3+D3+4*B3</f>
        <v>32</v>
      </c>
      <c r="K6" s="92">
        <f>C10+D3+E3+4*B3</f>
        <v>72</v>
      </c>
      <c r="M6" s="115" t="s">
        <v>80</v>
      </c>
      <c r="N6" s="114">
        <v>8</v>
      </c>
      <c r="O6" s="109">
        <v>40</v>
      </c>
      <c r="P6" s="109">
        <v>40</v>
      </c>
      <c r="Q6" s="109">
        <v>30</v>
      </c>
    </row>
    <row r="7" spans="1:17" ht="13.2">
      <c r="A7" s="260"/>
      <c r="B7" s="89"/>
      <c r="C7" s="110"/>
      <c r="D7" s="117"/>
      <c r="E7" s="119"/>
      <c r="F7" s="110"/>
      <c r="G7" s="110"/>
    </row>
    <row r="8" spans="1:17" ht="12.9" customHeight="1">
      <c r="A8" s="260"/>
      <c r="B8" s="111"/>
      <c r="C8" s="112"/>
      <c r="D8" s="120"/>
      <c r="E8" s="119"/>
      <c r="F8" s="121"/>
      <c r="G8" s="121"/>
      <c r="H8" s="87"/>
      <c r="I8" s="264" t="s">
        <v>63</v>
      </c>
    </row>
    <row r="9" spans="1:17" ht="13.2">
      <c r="A9" s="260"/>
      <c r="B9" s="108" t="s">
        <v>87</v>
      </c>
      <c r="C9" s="116" t="s">
        <v>90</v>
      </c>
      <c r="D9" s="116" t="s">
        <v>88</v>
      </c>
      <c r="E9" s="111"/>
      <c r="F9" s="110"/>
      <c r="G9" s="110"/>
      <c r="H9" s="90"/>
      <c r="I9" s="264"/>
    </row>
    <row r="10" spans="1:17" ht="13.2">
      <c r="A10" s="260"/>
      <c r="B10" s="118">
        <f>VLOOKUP(Kalk!K4,$M$2:$Q$8,3,0)</f>
        <v>40</v>
      </c>
      <c r="C10" s="118">
        <f>VLOOKUP(Kalk!K4,$M$2:$Q$8,4,0)</f>
        <v>40</v>
      </c>
      <c r="D10" s="118">
        <f>VLOOKUP(Kalk!K4,$M$2:$Q$8,5,0)</f>
        <v>30</v>
      </c>
      <c r="E10" s="111"/>
      <c r="F10" s="110"/>
      <c r="G10" s="110"/>
      <c r="H10" s="90"/>
      <c r="I10" s="99">
        <v>500</v>
      </c>
    </row>
    <row r="11" spans="1:17" ht="13.2">
      <c r="A11" s="260"/>
    </row>
    <row r="12" spans="1:17" ht="13.2">
      <c r="A12" s="260"/>
    </row>
    <row r="13" spans="1:17" ht="13.2"/>
    <row r="14" spans="1:17" ht="15.6">
      <c r="A14" s="260">
        <v>2</v>
      </c>
      <c r="B14" s="116" t="s">
        <v>73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7" ht="13.2">
      <c r="A15" s="260"/>
      <c r="B15" s="118">
        <f>VLOOKUP(Kalk!K8,$M$2:$N$8,2,0)</f>
        <v>8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2*(C15+D15)+4*B15+B22</f>
        <v>72</v>
      </c>
      <c r="G15" s="91">
        <f>C22+D15+E15+4*B15+(D15+B15)/2+D22</f>
        <v>106</v>
      </c>
      <c r="H15" s="90">
        <f>(F15*G15)/1000000</f>
        <v>7.6319999999999999E-3</v>
      </c>
      <c r="I15" s="91">
        <f>I22/H15</f>
        <v>65513.626834381554</v>
      </c>
      <c r="J15" s="92">
        <f>C15+D15+4*B15</f>
        <v>32</v>
      </c>
      <c r="K15" s="92">
        <f>C22+D15+E15+4*B15</f>
        <v>72</v>
      </c>
    </row>
    <row r="16" spans="1:17" ht="13.2">
      <c r="A16" s="260"/>
      <c r="B16" s="89"/>
      <c r="C16" s="6"/>
      <c r="D16" s="6"/>
      <c r="E16" s="6"/>
      <c r="F16" s="91">
        <f>2*(C15+D15)+4*B15+B22</f>
        <v>72</v>
      </c>
      <c r="G16" s="91">
        <f>C22+D15+E15+4*B15+(D15+B15)/2+D22</f>
        <v>106</v>
      </c>
      <c r="H16" s="90">
        <f>(F16*G16)/1000000</f>
        <v>7.6319999999999999E-3</v>
      </c>
      <c r="I16" s="91">
        <f>I22/H16</f>
        <v>65513.626834381554</v>
      </c>
      <c r="J16" s="92">
        <f>C15+D15+4*B15</f>
        <v>32</v>
      </c>
      <c r="K16" s="92">
        <f>C22+D15+E15+4*B15</f>
        <v>72</v>
      </c>
    </row>
    <row r="17" spans="1:11" ht="13.2">
      <c r="A17" s="260"/>
      <c r="B17" s="89"/>
      <c r="C17" s="6"/>
      <c r="D17" s="6"/>
      <c r="E17" s="6"/>
      <c r="F17" s="91">
        <f>2*(C15+D15)+4*B15+B22</f>
        <v>72</v>
      </c>
      <c r="G17" s="91">
        <f>C22+D15+E15+4*B15+(D15+B15)/2+D22</f>
        <v>106</v>
      </c>
      <c r="H17" s="90">
        <f>(F17*G17)/1000000</f>
        <v>7.6319999999999999E-3</v>
      </c>
      <c r="I17" s="91">
        <f>I22/H17</f>
        <v>65513.626834381554</v>
      </c>
      <c r="J17" s="92">
        <f>C15+D15+4*B15</f>
        <v>32</v>
      </c>
      <c r="K17" s="92">
        <f>C22+D15+E15+4*B15</f>
        <v>72</v>
      </c>
    </row>
    <row r="18" spans="1:11" ht="13.2">
      <c r="A18" s="260"/>
      <c r="B18" s="89"/>
      <c r="C18" s="6"/>
      <c r="D18" s="6"/>
      <c r="E18" s="6"/>
      <c r="F18" s="91">
        <f>2*(C15+D15)+4*B15+B22</f>
        <v>72</v>
      </c>
      <c r="G18" s="91">
        <f>C22+D15+E15+4*B15+(D15+B15)/2+D22</f>
        <v>106</v>
      </c>
      <c r="H18" s="90">
        <f>(F18*G18)/1000000</f>
        <v>7.6319999999999999E-3</v>
      </c>
      <c r="I18" s="91">
        <f>I22/H18</f>
        <v>65513.626834381554</v>
      </c>
      <c r="J18" s="92">
        <f>C15+D15+4*B15</f>
        <v>32</v>
      </c>
      <c r="K18" s="92">
        <f>C22+D15+E15+4*B15</f>
        <v>72</v>
      </c>
    </row>
    <row r="19" spans="1:11" ht="13.2">
      <c r="A19" s="260"/>
      <c r="B19" s="89"/>
      <c r="C19" s="110"/>
      <c r="D19" s="117"/>
      <c r="E19" s="119"/>
      <c r="F19" s="110"/>
      <c r="G19" s="110"/>
    </row>
    <row r="20" spans="1:11" ht="12.9" customHeight="1">
      <c r="A20" s="260"/>
      <c r="B20" s="111"/>
      <c r="C20" s="112"/>
      <c r="D20" s="120"/>
      <c r="E20" s="119"/>
      <c r="F20" s="121"/>
      <c r="G20" s="121"/>
      <c r="H20" s="87"/>
      <c r="I20" s="264" t="s">
        <v>63</v>
      </c>
    </row>
    <row r="21" spans="1:11" ht="13.2">
      <c r="A21" s="260"/>
      <c r="B21" s="108" t="s">
        <v>87</v>
      </c>
      <c r="C21" s="116" t="s">
        <v>90</v>
      </c>
      <c r="D21" s="116" t="s">
        <v>88</v>
      </c>
      <c r="E21" s="111"/>
      <c r="F21" s="110"/>
      <c r="G21" s="110"/>
      <c r="H21" s="90"/>
      <c r="I21" s="264"/>
    </row>
    <row r="22" spans="1:11" ht="13.2">
      <c r="A22" s="260"/>
      <c r="B22" s="118">
        <f>VLOOKUP(Kalk!K8,$M$2:$Q$8,3,0)</f>
        <v>40</v>
      </c>
      <c r="C22" s="118">
        <f>VLOOKUP(Kalk!K8,$M$2:$Q$8,4,0)</f>
        <v>40</v>
      </c>
      <c r="D22" s="118">
        <f>VLOOKUP(Kalk!K8,$M$2:$Q$8,5,0)</f>
        <v>30</v>
      </c>
      <c r="E22" s="111"/>
      <c r="F22" s="110"/>
      <c r="G22" s="110"/>
      <c r="H22" s="90"/>
      <c r="I22" s="99">
        <v>500</v>
      </c>
    </row>
    <row r="23" spans="1:11" ht="13.2">
      <c r="A23" s="260"/>
    </row>
    <row r="24" spans="1:11" ht="13.2">
      <c r="A24" s="260"/>
    </row>
    <row r="25" spans="1:11" ht="13.2"/>
    <row r="26" spans="1:11" ht="15.6">
      <c r="A26" s="260">
        <v>3</v>
      </c>
      <c r="B26" s="116" t="s">
        <v>73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118">
        <f>VLOOKUP(Kalk!K12,$M$2:$N$8,2,0)</f>
        <v>3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2*(C27+D27)+4*B27+B34</f>
        <v>42</v>
      </c>
      <c r="G27" s="91">
        <f>C34+D27+E27+4*B27+(D27+B27)/2+D34</f>
        <v>68.5</v>
      </c>
      <c r="H27" s="90">
        <f>(F27*G27)/1000000</f>
        <v>2.8770000000000002E-3</v>
      </c>
      <c r="I27" s="91">
        <f>I34/H27</f>
        <v>173792.14459506428</v>
      </c>
      <c r="J27" s="92">
        <f>C27+D27+4*B27</f>
        <v>12</v>
      </c>
      <c r="K27" s="92">
        <f>C34+D27+E27+4*B27</f>
        <v>37</v>
      </c>
    </row>
    <row r="28" spans="1:11" ht="13.2">
      <c r="A28" s="260"/>
      <c r="B28" s="89"/>
      <c r="C28" s="6"/>
      <c r="D28" s="6"/>
      <c r="E28" s="6"/>
      <c r="F28" s="91">
        <f>2*(C27+D27)+4*B27+B34</f>
        <v>42</v>
      </c>
      <c r="G28" s="91">
        <f>C34+D27+E27+4*B27+(D27+B27)/2+D34</f>
        <v>68.5</v>
      </c>
      <c r="H28" s="90">
        <f>(F28*G28)/1000000</f>
        <v>2.8770000000000002E-3</v>
      </c>
      <c r="I28" s="91">
        <f>I34/H28</f>
        <v>173792.14459506428</v>
      </c>
      <c r="J28" s="92">
        <f>C27+D27+4*B27</f>
        <v>12</v>
      </c>
      <c r="K28" s="92">
        <f>C34+D27+E27+4*B27</f>
        <v>37</v>
      </c>
    </row>
    <row r="29" spans="1:11" ht="13.2">
      <c r="A29" s="260"/>
      <c r="B29" s="89"/>
      <c r="C29" s="6"/>
      <c r="D29" s="6"/>
      <c r="E29" s="6"/>
      <c r="F29" s="91">
        <f>2*(C27+D27)+4*B27+B34</f>
        <v>42</v>
      </c>
      <c r="G29" s="91">
        <f>C34+D27+E27+4*B27+(D27+B27)/2+D34</f>
        <v>68.5</v>
      </c>
      <c r="H29" s="90">
        <f>(F29*G29)/1000000</f>
        <v>2.8770000000000002E-3</v>
      </c>
      <c r="I29" s="91">
        <f>I34/H29</f>
        <v>173792.14459506428</v>
      </c>
      <c r="J29" s="92">
        <f>C27+D27+4*B27</f>
        <v>12</v>
      </c>
      <c r="K29" s="92">
        <f>C34+D27+E27+4*B27</f>
        <v>37</v>
      </c>
    </row>
    <row r="30" spans="1:11" ht="13.2">
      <c r="A30" s="260"/>
      <c r="B30" s="89"/>
      <c r="C30" s="6"/>
      <c r="D30" s="6"/>
      <c r="E30" s="6"/>
      <c r="F30" s="91">
        <f>2*(C27+D27)+4*B27+B34</f>
        <v>42</v>
      </c>
      <c r="G30" s="91">
        <f>C34+D27+E27+4*B27+(D27+B27)/2+D34</f>
        <v>68.5</v>
      </c>
      <c r="H30" s="90">
        <f>(F30*G30)/1000000</f>
        <v>2.8770000000000002E-3</v>
      </c>
      <c r="I30" s="91">
        <f>I34/H30</f>
        <v>173792.14459506428</v>
      </c>
      <c r="J30" s="92">
        <f>C27+D27+4*B27</f>
        <v>12</v>
      </c>
      <c r="K30" s="92">
        <f>C34+D27+E27+4*B27</f>
        <v>37</v>
      </c>
    </row>
    <row r="31" spans="1:11" ht="13.2">
      <c r="A31" s="260"/>
      <c r="B31" s="89"/>
      <c r="C31" s="110"/>
      <c r="D31" s="117"/>
      <c r="E31" s="119"/>
      <c r="F31" s="110"/>
      <c r="G31" s="110"/>
    </row>
    <row r="32" spans="1:11" ht="12.9" customHeight="1">
      <c r="A32" s="260"/>
      <c r="B32" s="111"/>
      <c r="C32" s="112"/>
      <c r="D32" s="120"/>
      <c r="E32" s="119"/>
      <c r="F32" s="121"/>
      <c r="G32" s="121"/>
      <c r="H32" s="87"/>
      <c r="I32" s="264" t="s">
        <v>63</v>
      </c>
    </row>
    <row r="33" spans="1:11" ht="13.2">
      <c r="A33" s="260"/>
      <c r="B33" s="108" t="s">
        <v>87</v>
      </c>
      <c r="C33" s="116" t="s">
        <v>90</v>
      </c>
      <c r="D33" s="116" t="s">
        <v>88</v>
      </c>
      <c r="E33" s="111"/>
      <c r="F33" s="110"/>
      <c r="G33" s="110"/>
      <c r="H33" s="90"/>
      <c r="I33" s="264"/>
    </row>
    <row r="34" spans="1:11" ht="13.2">
      <c r="A34" s="260"/>
      <c r="B34" s="118">
        <f>VLOOKUP(Kalk!K12,$M$2:$Q$8,3,0)</f>
        <v>30</v>
      </c>
      <c r="C34" s="118">
        <f>VLOOKUP(Kalk!K12,$M$2:$Q$8,4,0)</f>
        <v>25</v>
      </c>
      <c r="D34" s="118">
        <f>VLOOKUP(Kalk!K12,$M$2:$Q$8,5,0)</f>
        <v>30</v>
      </c>
      <c r="E34" s="111"/>
      <c r="F34" s="110"/>
      <c r="G34" s="110"/>
      <c r="H34" s="90"/>
      <c r="I34" s="99">
        <v>500</v>
      </c>
    </row>
    <row r="35" spans="1:11" ht="13.2">
      <c r="A35" s="260"/>
    </row>
    <row r="36" spans="1:11" ht="13.2">
      <c r="A36" s="260"/>
    </row>
    <row r="37" spans="1:11" ht="13.2"/>
    <row r="38" spans="1:11" ht="15.6">
      <c r="A38" s="260">
        <v>4</v>
      </c>
      <c r="B38" s="116" t="s">
        <v>73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118">
        <f>VLOOKUP(Kalk!K16,$M$2:$N$8,2,0)</f>
        <v>3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2*(C39+D39)+4*B39+B46</f>
        <v>42</v>
      </c>
      <c r="G39" s="91">
        <f>C46+D39+E39+4*B39+(D39+B39)/2+D46</f>
        <v>68.5</v>
      </c>
      <c r="H39" s="90">
        <f>(F39*G39)/1000000</f>
        <v>2.8770000000000002E-3</v>
      </c>
      <c r="I39" s="91">
        <f>I46/H39</f>
        <v>173792.14459506428</v>
      </c>
      <c r="J39" s="92">
        <f>C39+D39+4*B39</f>
        <v>12</v>
      </c>
      <c r="K39" s="92">
        <f>C46+D39+E39+4*B39</f>
        <v>37</v>
      </c>
    </row>
    <row r="40" spans="1:11" ht="13.2">
      <c r="A40" s="260"/>
      <c r="B40" s="89"/>
      <c r="C40" s="6"/>
      <c r="D40" s="6"/>
      <c r="E40" s="6"/>
      <c r="F40" s="91">
        <f>2*(C39+D39)+4*B39+B46</f>
        <v>42</v>
      </c>
      <c r="G40" s="91">
        <f>C46+D39+E39+4*B39+(D39+B39)/2+D46</f>
        <v>68.5</v>
      </c>
      <c r="H40" s="90">
        <f>(F40*G40)/1000000</f>
        <v>2.8770000000000002E-3</v>
      </c>
      <c r="I40" s="91">
        <f>I46/H40</f>
        <v>173792.14459506428</v>
      </c>
      <c r="J40" s="92">
        <f>C39+D39+4*B39</f>
        <v>12</v>
      </c>
      <c r="K40" s="92">
        <f>C46+D39+E39+4*B39</f>
        <v>37</v>
      </c>
    </row>
    <row r="41" spans="1:11" ht="13.2">
      <c r="A41" s="260"/>
      <c r="B41" s="89"/>
      <c r="C41" s="6"/>
      <c r="D41" s="6"/>
      <c r="E41" s="6"/>
      <c r="F41" s="91">
        <f>2*(C39+D39)+4*B39+B46</f>
        <v>42</v>
      </c>
      <c r="G41" s="91">
        <f>C46+D39+E39+4*B39+(D39+B39)/2+D46</f>
        <v>68.5</v>
      </c>
      <c r="H41" s="90">
        <f>(F41*G41)/1000000</f>
        <v>2.8770000000000002E-3</v>
      </c>
      <c r="I41" s="91">
        <f>I46/H41</f>
        <v>173792.14459506428</v>
      </c>
      <c r="J41" s="92">
        <f>C39+D39+4*B39</f>
        <v>12</v>
      </c>
      <c r="K41" s="92">
        <f>C46+D39+E39+4*B39</f>
        <v>37</v>
      </c>
    </row>
    <row r="42" spans="1:11" ht="13.2">
      <c r="A42" s="260"/>
      <c r="B42" s="89"/>
      <c r="C42" s="6"/>
      <c r="D42" s="6"/>
      <c r="E42" s="6"/>
      <c r="F42" s="91">
        <f>2*(C39+D39)+4*B39+B46</f>
        <v>42</v>
      </c>
      <c r="G42" s="91">
        <f>C46+D39+E39+4*B39+(D39+B39)/2+D46</f>
        <v>68.5</v>
      </c>
      <c r="H42" s="90">
        <f>(F42*G42)/1000000</f>
        <v>2.8770000000000002E-3</v>
      </c>
      <c r="I42" s="91">
        <f>I46/H42</f>
        <v>173792.14459506428</v>
      </c>
      <c r="J42" s="92">
        <f>C39+D39+4*B39</f>
        <v>12</v>
      </c>
      <c r="K42" s="92">
        <f>C46+D39+E39+4*B39</f>
        <v>37</v>
      </c>
    </row>
    <row r="43" spans="1:11" ht="13.2">
      <c r="A43" s="260"/>
      <c r="B43" s="89"/>
      <c r="C43" s="110"/>
      <c r="D43" s="117"/>
      <c r="E43" s="119"/>
      <c r="F43" s="110"/>
      <c r="G43" s="110"/>
    </row>
    <row r="44" spans="1:11" ht="12.9" customHeight="1">
      <c r="A44" s="260"/>
      <c r="B44" s="111"/>
      <c r="C44" s="112"/>
      <c r="D44" s="120"/>
      <c r="E44" s="119"/>
      <c r="F44" s="121"/>
      <c r="G44" s="121"/>
      <c r="H44" s="87"/>
      <c r="I44" s="264" t="s">
        <v>63</v>
      </c>
    </row>
    <row r="45" spans="1:11" ht="13.2">
      <c r="A45" s="260"/>
      <c r="B45" s="108" t="s">
        <v>87</v>
      </c>
      <c r="C45" s="116" t="s">
        <v>90</v>
      </c>
      <c r="D45" s="116" t="s">
        <v>88</v>
      </c>
      <c r="E45" s="111"/>
      <c r="F45" s="110"/>
      <c r="G45" s="110"/>
      <c r="H45" s="90"/>
      <c r="I45" s="264"/>
    </row>
    <row r="46" spans="1:11" ht="13.2">
      <c r="A46" s="260"/>
      <c r="B46" s="118">
        <f>VLOOKUP(Kalk!K16,$M$2:$Q$8,3,0)</f>
        <v>30</v>
      </c>
      <c r="C46" s="118">
        <f>VLOOKUP(Kalk!K16,$M$2:$Q$8,4,0)</f>
        <v>25</v>
      </c>
      <c r="D46" s="118">
        <f>VLOOKUP(Kalk!K16,$M$2:$Q$8,5,0)</f>
        <v>30</v>
      </c>
      <c r="E46" s="111"/>
      <c r="F46" s="110"/>
      <c r="G46" s="110"/>
      <c r="H46" s="90"/>
      <c r="I46" s="99">
        <v>500</v>
      </c>
    </row>
    <row r="47" spans="1:11" ht="13.2">
      <c r="A47" s="260"/>
    </row>
    <row r="48" spans="1:11" ht="13.2">
      <c r="A48" s="260"/>
    </row>
    <row r="49" spans="1:11" ht="13.2"/>
    <row r="50" spans="1:11" ht="15.6">
      <c r="A50" s="260">
        <v>5</v>
      </c>
      <c r="B50" s="116" t="s">
        <v>73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118">
        <f>VLOOKUP(Kalk!K20,$M$2:$N$8,2,0)</f>
        <v>3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2*(C51+D51)+4*B51+B58</f>
        <v>42</v>
      </c>
      <c r="G51" s="91">
        <f>C58+D51+E51+4*B51+(D51+B51)/2+D58</f>
        <v>68.5</v>
      </c>
      <c r="H51" s="90">
        <f>(F51*G51)/1000000</f>
        <v>2.8770000000000002E-3</v>
      </c>
      <c r="I51" s="91">
        <f>I58/H51</f>
        <v>173792.14459506428</v>
      </c>
      <c r="J51" s="92">
        <f>C51+D51+4*B51</f>
        <v>12</v>
      </c>
      <c r="K51" s="92">
        <f>C58+D51+E51+4*B51</f>
        <v>37</v>
      </c>
    </row>
    <row r="52" spans="1:11" ht="13.2">
      <c r="A52" s="260"/>
      <c r="B52" s="89"/>
      <c r="C52" s="6"/>
      <c r="D52" s="6"/>
      <c r="E52" s="6"/>
      <c r="F52" s="91">
        <f>2*(C51+D51)+4*B51+B58</f>
        <v>42</v>
      </c>
      <c r="G52" s="91">
        <f>C58+D51+E51+4*B51+(D51+B51)/2+D58</f>
        <v>68.5</v>
      </c>
      <c r="H52" s="90">
        <f>(F52*G52)/1000000</f>
        <v>2.8770000000000002E-3</v>
      </c>
      <c r="I52" s="91">
        <f>I58/H52</f>
        <v>173792.14459506428</v>
      </c>
      <c r="J52" s="92">
        <f>C51+D51+4*B51</f>
        <v>12</v>
      </c>
      <c r="K52" s="92">
        <f>C58+D51+E51+4*B51</f>
        <v>37</v>
      </c>
    </row>
    <row r="53" spans="1:11" ht="13.2">
      <c r="A53" s="260"/>
      <c r="B53" s="89"/>
      <c r="C53" s="6"/>
      <c r="D53" s="6"/>
      <c r="E53" s="6"/>
      <c r="F53" s="91">
        <f>2*(C51+D51)+4*B51+B58</f>
        <v>42</v>
      </c>
      <c r="G53" s="91">
        <f>C58+D51+E51+4*B51+(D51+B51)/2+D58</f>
        <v>68.5</v>
      </c>
      <c r="H53" s="90">
        <f>(F53*G53)/1000000</f>
        <v>2.8770000000000002E-3</v>
      </c>
      <c r="I53" s="91">
        <f>I58/H53</f>
        <v>173792.14459506428</v>
      </c>
      <c r="J53" s="92">
        <f>C51+D51+4*B51</f>
        <v>12</v>
      </c>
      <c r="K53" s="92">
        <f>C58+D51+E51+4*B51</f>
        <v>37</v>
      </c>
    </row>
    <row r="54" spans="1:11" ht="13.2">
      <c r="A54" s="260"/>
      <c r="B54" s="89"/>
      <c r="C54" s="6"/>
      <c r="D54" s="6"/>
      <c r="E54" s="6"/>
      <c r="F54" s="91">
        <f>2*(C51+D51)+4*B51+B58</f>
        <v>42</v>
      </c>
      <c r="G54" s="91">
        <f>C58+D51+E51+4*B51+(D51+B51)/2+D58</f>
        <v>68.5</v>
      </c>
      <c r="H54" s="90">
        <f>(F54*G54)/1000000</f>
        <v>2.8770000000000002E-3</v>
      </c>
      <c r="I54" s="91">
        <f>I58/H54</f>
        <v>173792.14459506428</v>
      </c>
      <c r="J54" s="92">
        <f>C51+D51+4*B51</f>
        <v>12</v>
      </c>
      <c r="K54" s="92">
        <f>C58+D51+E51+4*B51</f>
        <v>37</v>
      </c>
    </row>
    <row r="55" spans="1:11" ht="13.2">
      <c r="A55" s="260"/>
      <c r="B55" s="89"/>
      <c r="C55" s="110"/>
      <c r="D55" s="117"/>
      <c r="E55" s="119"/>
      <c r="F55" s="110"/>
      <c r="G55" s="110"/>
    </row>
    <row r="56" spans="1:11" ht="12.9" customHeight="1">
      <c r="A56" s="260"/>
      <c r="B56" s="111"/>
      <c r="C56" s="112"/>
      <c r="D56" s="120"/>
      <c r="E56" s="119"/>
      <c r="F56" s="121"/>
      <c r="G56" s="121"/>
      <c r="H56" s="87"/>
      <c r="I56" s="264" t="s">
        <v>63</v>
      </c>
    </row>
    <row r="57" spans="1:11" ht="13.2">
      <c r="A57" s="260"/>
      <c r="B57" s="108" t="s">
        <v>87</v>
      </c>
      <c r="C57" s="116" t="s">
        <v>90</v>
      </c>
      <c r="D57" s="116" t="s">
        <v>88</v>
      </c>
      <c r="E57" s="111"/>
      <c r="F57" s="110"/>
      <c r="G57" s="110"/>
      <c r="H57" s="90"/>
      <c r="I57" s="264"/>
    </row>
    <row r="58" spans="1:11" ht="13.2">
      <c r="A58" s="260"/>
      <c r="B58" s="118">
        <f>VLOOKUP(Kalk!K20,$M$2:$Q$8,3,0)</f>
        <v>30</v>
      </c>
      <c r="C58" s="118">
        <f>VLOOKUP(Kalk!K20,$M$2:$Q$8,4,0)</f>
        <v>25</v>
      </c>
      <c r="D58" s="118">
        <f>VLOOKUP(Kalk!K20,$M$2:$Q$8,5,0)</f>
        <v>30</v>
      </c>
      <c r="E58" s="111"/>
      <c r="F58" s="110"/>
      <c r="G58" s="110"/>
      <c r="H58" s="90"/>
      <c r="I58" s="99">
        <v>500</v>
      </c>
    </row>
    <row r="59" spans="1:11" ht="13.2">
      <c r="A59" s="260"/>
    </row>
    <row r="60" spans="1:11" ht="13.2">
      <c r="A60" s="260"/>
    </row>
    <row r="61" spans="1:11" ht="13.2"/>
    <row r="62" spans="1:11" ht="15.6">
      <c r="A62" s="260">
        <v>6</v>
      </c>
      <c r="B62" s="116" t="s">
        <v>73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118">
        <f>VLOOKUP(Kalk!K24,$M$2:$N$8,2,0)</f>
        <v>3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2*(C63+D63)+4*B63+B70</f>
        <v>42</v>
      </c>
      <c r="G63" s="91">
        <f>C70+D63+E63+4*B63+(D63+B63)/2+D70</f>
        <v>68.5</v>
      </c>
      <c r="H63" s="90">
        <f>(F63*G63)/1000000</f>
        <v>2.8770000000000002E-3</v>
      </c>
      <c r="I63" s="91">
        <f>I70/H63</f>
        <v>173792.14459506428</v>
      </c>
      <c r="J63" s="92">
        <f>C63+D63+4*B63</f>
        <v>12</v>
      </c>
      <c r="K63" s="92">
        <f>C70+D63+E63+4*B63</f>
        <v>37</v>
      </c>
    </row>
    <row r="64" spans="1:11" ht="13.2">
      <c r="A64" s="260"/>
      <c r="B64" s="89"/>
      <c r="C64" s="6"/>
      <c r="D64" s="6"/>
      <c r="E64" s="6"/>
      <c r="F64" s="91">
        <f>2*(C63+D63)+4*B63+B70</f>
        <v>42</v>
      </c>
      <c r="G64" s="91">
        <f>C70+D63+E63+4*B63+(D63+B63)/2+D70</f>
        <v>68.5</v>
      </c>
      <c r="H64" s="90">
        <f>(F64*G64)/1000000</f>
        <v>2.8770000000000002E-3</v>
      </c>
      <c r="I64" s="91">
        <f>I70/H64</f>
        <v>173792.14459506428</v>
      </c>
      <c r="J64" s="92">
        <f>C63+D63+4*B63</f>
        <v>12</v>
      </c>
      <c r="K64" s="92">
        <f>C70+D63+E63+4*B63</f>
        <v>37</v>
      </c>
    </row>
    <row r="65" spans="1:11" ht="13.2">
      <c r="A65" s="260"/>
      <c r="B65" s="89"/>
      <c r="C65" s="6"/>
      <c r="D65" s="6"/>
      <c r="E65" s="6"/>
      <c r="F65" s="91">
        <f>2*(C63+D63)+4*B63+B70</f>
        <v>42</v>
      </c>
      <c r="G65" s="91">
        <f>C70+D63+E63+4*B63+(D63+B63)/2+D70</f>
        <v>68.5</v>
      </c>
      <c r="H65" s="90">
        <f>(F65*G65)/1000000</f>
        <v>2.8770000000000002E-3</v>
      </c>
      <c r="I65" s="91">
        <f>I70/H65</f>
        <v>173792.14459506428</v>
      </c>
      <c r="J65" s="92">
        <f>C63+D63+4*B63</f>
        <v>12</v>
      </c>
      <c r="K65" s="92">
        <f>C70+D63+E63+4*B63</f>
        <v>37</v>
      </c>
    </row>
    <row r="66" spans="1:11" ht="13.2">
      <c r="A66" s="260"/>
      <c r="B66" s="89"/>
      <c r="C66" s="6"/>
      <c r="D66" s="6"/>
      <c r="E66" s="6"/>
      <c r="F66" s="91">
        <f>2*(C63+D63)+4*B63+B70</f>
        <v>42</v>
      </c>
      <c r="G66" s="91">
        <f>C70+D63+E63+4*B63+(D63+B63)/2+D70</f>
        <v>68.5</v>
      </c>
      <c r="H66" s="90">
        <f>(F66*G66)/1000000</f>
        <v>2.8770000000000002E-3</v>
      </c>
      <c r="I66" s="91">
        <f>I70/H66</f>
        <v>173792.14459506428</v>
      </c>
      <c r="J66" s="92">
        <f>C63+D63+4*B63</f>
        <v>12</v>
      </c>
      <c r="K66" s="92">
        <f>C70+D63+E63+4*B63</f>
        <v>37</v>
      </c>
    </row>
    <row r="67" spans="1:11" ht="13.2">
      <c r="A67" s="260"/>
      <c r="B67" s="89"/>
      <c r="C67" s="110"/>
      <c r="D67" s="117"/>
      <c r="E67" s="119"/>
      <c r="F67" s="110"/>
      <c r="G67" s="110"/>
    </row>
    <row r="68" spans="1:11" ht="12.9" customHeight="1">
      <c r="A68" s="260"/>
      <c r="B68" s="111"/>
      <c r="C68" s="112"/>
      <c r="D68" s="120"/>
      <c r="E68" s="119"/>
      <c r="F68" s="121"/>
      <c r="G68" s="121"/>
      <c r="H68" s="87"/>
      <c r="I68" s="264" t="s">
        <v>63</v>
      </c>
    </row>
    <row r="69" spans="1:11" ht="13.2">
      <c r="A69" s="260"/>
      <c r="B69" s="108" t="s">
        <v>87</v>
      </c>
      <c r="C69" s="116" t="s">
        <v>90</v>
      </c>
      <c r="D69" s="116" t="s">
        <v>88</v>
      </c>
      <c r="E69" s="111"/>
      <c r="F69" s="110"/>
      <c r="G69" s="110"/>
      <c r="H69" s="90"/>
      <c r="I69" s="264"/>
    </row>
    <row r="70" spans="1:11" ht="13.2">
      <c r="A70" s="260"/>
      <c r="B70" s="118">
        <f>VLOOKUP(Kalk!K24,$M$2:$Q$8,3,0)</f>
        <v>30</v>
      </c>
      <c r="C70" s="118">
        <f>VLOOKUP(Kalk!K24,$M$2:$Q$8,4,0)</f>
        <v>25</v>
      </c>
      <c r="D70" s="118">
        <f>VLOOKUP(Kalk!K24,$M$2:$Q$8,5,0)</f>
        <v>30</v>
      </c>
      <c r="E70" s="111"/>
      <c r="F70" s="110"/>
      <c r="G70" s="110"/>
      <c r="H70" s="90"/>
      <c r="I70" s="99">
        <v>500</v>
      </c>
    </row>
    <row r="71" spans="1:11" ht="13.2">
      <c r="A71" s="260"/>
    </row>
    <row r="72" spans="1:11" ht="13.2">
      <c r="A72" s="260"/>
    </row>
    <row r="73" spans="1:11" ht="13.2"/>
    <row r="74" spans="1:11" ht="15.6">
      <c r="A74" s="260">
        <v>7</v>
      </c>
      <c r="B74" s="116" t="s">
        <v>73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118">
        <f>VLOOKUP(Kalk!K28,$M$2:$N$8,2,0)</f>
        <v>3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2*(C75+D75)+4*B75+B82</f>
        <v>42</v>
      </c>
      <c r="G75" s="91">
        <f>C82+D75+E75+4*B75+(D75+B75)/2+D82</f>
        <v>68.5</v>
      </c>
      <c r="H75" s="90">
        <f>(F75*G75)/1000000</f>
        <v>2.8770000000000002E-3</v>
      </c>
      <c r="I75" s="91">
        <f>I82/H75</f>
        <v>173792.14459506428</v>
      </c>
      <c r="J75" s="92">
        <f>C75+D75+4*B75</f>
        <v>12</v>
      </c>
      <c r="K75" s="92">
        <f>C82+D75+E75+4*B75</f>
        <v>37</v>
      </c>
    </row>
    <row r="76" spans="1:11" ht="13.2">
      <c r="A76" s="260"/>
      <c r="B76" s="89"/>
      <c r="C76" s="6"/>
      <c r="D76" s="6"/>
      <c r="E76" s="6"/>
      <c r="F76" s="91">
        <f>2*(C75+D75)+4*B75+B82</f>
        <v>42</v>
      </c>
      <c r="G76" s="91">
        <f>C82+D75+E75+4*B75+(D75+B75)/2+D82</f>
        <v>68.5</v>
      </c>
      <c r="H76" s="90">
        <f>(F76*G76)/1000000</f>
        <v>2.8770000000000002E-3</v>
      </c>
      <c r="I76" s="91">
        <f>I82/H76</f>
        <v>173792.14459506428</v>
      </c>
      <c r="J76" s="92">
        <f>C75+D75+4*B75</f>
        <v>12</v>
      </c>
      <c r="K76" s="92">
        <f>C82+D75+E75+4*B75</f>
        <v>37</v>
      </c>
    </row>
    <row r="77" spans="1:11" ht="13.2">
      <c r="A77" s="260"/>
      <c r="B77" s="89"/>
      <c r="C77" s="6"/>
      <c r="D77" s="6"/>
      <c r="E77" s="6"/>
      <c r="F77" s="91">
        <f>2*(C75+D75)+4*B75+B82</f>
        <v>42</v>
      </c>
      <c r="G77" s="91">
        <f>C82+D75+E75+4*B75+(D75+B75)/2+D82</f>
        <v>68.5</v>
      </c>
      <c r="H77" s="90">
        <f>(F77*G77)/1000000</f>
        <v>2.8770000000000002E-3</v>
      </c>
      <c r="I77" s="91">
        <f>I82/H77</f>
        <v>173792.14459506428</v>
      </c>
      <c r="J77" s="92">
        <f>C75+D75+4*B75</f>
        <v>12</v>
      </c>
      <c r="K77" s="92">
        <f>C82+D75+E75+4*B75</f>
        <v>37</v>
      </c>
    </row>
    <row r="78" spans="1:11" ht="13.2">
      <c r="A78" s="260"/>
      <c r="B78" s="89"/>
      <c r="C78" s="6"/>
      <c r="D78" s="6"/>
      <c r="E78" s="6"/>
      <c r="F78" s="91">
        <f>2*(C75+D75)+4*B75+B82</f>
        <v>42</v>
      </c>
      <c r="G78" s="91">
        <f>C82+D75+E75+4*B75+(D75+B75)/2+D82</f>
        <v>68.5</v>
      </c>
      <c r="H78" s="90">
        <f>(F78*G78)/1000000</f>
        <v>2.8770000000000002E-3</v>
      </c>
      <c r="I78" s="91">
        <f>I82/H78</f>
        <v>173792.14459506428</v>
      </c>
      <c r="J78" s="92">
        <f>C75+D75+4*B75</f>
        <v>12</v>
      </c>
      <c r="K78" s="92">
        <f>C82+D75+E75+4*B75</f>
        <v>37</v>
      </c>
    </row>
    <row r="79" spans="1:11" ht="13.2">
      <c r="A79" s="260"/>
      <c r="B79" s="89"/>
      <c r="C79" s="110"/>
      <c r="D79" s="117"/>
      <c r="E79" s="119"/>
      <c r="F79" s="110"/>
      <c r="G79" s="110"/>
    </row>
    <row r="80" spans="1:11" ht="12.9" customHeight="1">
      <c r="A80" s="260"/>
      <c r="B80" s="111"/>
      <c r="C80" s="112"/>
      <c r="D80" s="120"/>
      <c r="E80" s="119"/>
      <c r="F80" s="121"/>
      <c r="G80" s="121"/>
      <c r="H80" s="87"/>
      <c r="I80" s="264" t="s">
        <v>63</v>
      </c>
    </row>
    <row r="81" spans="1:11" ht="13.2">
      <c r="A81" s="260"/>
      <c r="B81" s="108" t="s">
        <v>87</v>
      </c>
      <c r="C81" s="116" t="s">
        <v>90</v>
      </c>
      <c r="D81" s="116" t="s">
        <v>88</v>
      </c>
      <c r="E81" s="111"/>
      <c r="F81" s="110"/>
      <c r="G81" s="110"/>
      <c r="H81" s="90"/>
      <c r="I81" s="264"/>
    </row>
    <row r="82" spans="1:11" ht="13.2">
      <c r="A82" s="260"/>
      <c r="B82" s="118">
        <f>VLOOKUP(Kalk!K28,$M$2:$Q$8,3,0)</f>
        <v>30</v>
      </c>
      <c r="C82" s="118">
        <f>VLOOKUP(Kalk!K28,$M$2:$Q$8,4,0)</f>
        <v>25</v>
      </c>
      <c r="D82" s="118">
        <f>VLOOKUP(Kalk!K28,$M$2:$Q$8,5,0)</f>
        <v>30</v>
      </c>
      <c r="E82" s="111"/>
      <c r="F82" s="110"/>
      <c r="G82" s="110"/>
      <c r="H82" s="90"/>
      <c r="I82" s="99">
        <v>500</v>
      </c>
    </row>
    <row r="83" spans="1:11" ht="13.2">
      <c r="A83" s="260"/>
    </row>
    <row r="84" spans="1:11" ht="13.2">
      <c r="A84" s="260"/>
    </row>
    <row r="85" spans="1:11" ht="13.2"/>
    <row r="86" spans="1:11" ht="15.6">
      <c r="A86" s="260">
        <v>8</v>
      </c>
      <c r="B86" s="116" t="s">
        <v>73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118">
        <f>VLOOKUP(Kalk!K32,$M$2:$N$8,2,0)</f>
        <v>3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2*(C87+D87)+4*B87+B94</f>
        <v>42</v>
      </c>
      <c r="G87" s="91">
        <f>C94+D87+E87+4*B87+(D87+B87)/2+D94</f>
        <v>68.5</v>
      </c>
      <c r="H87" s="90">
        <f>(F87*G87)/1000000</f>
        <v>2.8770000000000002E-3</v>
      </c>
      <c r="I87" s="91">
        <f>I94/H87</f>
        <v>173792.14459506428</v>
      </c>
      <c r="J87" s="92">
        <f>C87+D87+4*B87</f>
        <v>12</v>
      </c>
      <c r="K87" s="92">
        <f>C94+D87+E87+4*B87</f>
        <v>37</v>
      </c>
    </row>
    <row r="88" spans="1:11" ht="13.2">
      <c r="A88" s="260"/>
      <c r="B88" s="89"/>
      <c r="C88" s="6"/>
      <c r="D88" s="6"/>
      <c r="E88" s="6"/>
      <c r="F88" s="91">
        <f>2*(C87+D87)+4*B87+B94</f>
        <v>42</v>
      </c>
      <c r="G88" s="91">
        <f>C94+D87+E87+4*B87+(D87+B87)/2+D94</f>
        <v>68.5</v>
      </c>
      <c r="H88" s="90">
        <f>(F88*G88)/1000000</f>
        <v>2.8770000000000002E-3</v>
      </c>
      <c r="I88" s="91">
        <f>I94/H88</f>
        <v>173792.14459506428</v>
      </c>
      <c r="J88" s="92">
        <f>C87+D87+4*B87</f>
        <v>12</v>
      </c>
      <c r="K88" s="92">
        <f>C94+D87+E87+4*B87</f>
        <v>37</v>
      </c>
    </row>
    <row r="89" spans="1:11" ht="13.2">
      <c r="A89" s="260"/>
      <c r="B89" s="89"/>
      <c r="C89" s="6"/>
      <c r="D89" s="6"/>
      <c r="E89" s="6"/>
      <c r="F89" s="91">
        <f>2*(C87+D87)+4*B87+B94</f>
        <v>42</v>
      </c>
      <c r="G89" s="91">
        <f>C94+D87+E87+4*B87+(D87+B87)/2+D94</f>
        <v>68.5</v>
      </c>
      <c r="H89" s="90">
        <f>(F89*G89)/1000000</f>
        <v>2.8770000000000002E-3</v>
      </c>
      <c r="I89" s="91">
        <f>I94/H89</f>
        <v>173792.14459506428</v>
      </c>
      <c r="J89" s="92">
        <f>C87+D87+4*B87</f>
        <v>12</v>
      </c>
      <c r="K89" s="92">
        <f>C94+D87+E87+4*B87</f>
        <v>37</v>
      </c>
    </row>
    <row r="90" spans="1:11" ht="13.2">
      <c r="A90" s="260"/>
      <c r="B90" s="89"/>
      <c r="C90" s="6"/>
      <c r="D90" s="6"/>
      <c r="E90" s="6"/>
      <c r="F90" s="91">
        <f>2*(C87+D87)+4*B87+B94</f>
        <v>42</v>
      </c>
      <c r="G90" s="91">
        <f>C94+D87+E87+4*B87+(D87+B87)/2+D94</f>
        <v>68.5</v>
      </c>
      <c r="H90" s="90">
        <f>(F90*G90)/1000000</f>
        <v>2.8770000000000002E-3</v>
      </c>
      <c r="I90" s="91">
        <f>I94/H90</f>
        <v>173792.14459506428</v>
      </c>
      <c r="J90" s="92">
        <f>C87+D87+4*B87</f>
        <v>12</v>
      </c>
      <c r="K90" s="92">
        <f>C94+D87+E87+4*B87</f>
        <v>37</v>
      </c>
    </row>
    <row r="91" spans="1:11" ht="13.2">
      <c r="A91" s="260"/>
      <c r="B91" s="89"/>
      <c r="C91" s="110"/>
      <c r="D91" s="117"/>
      <c r="E91" s="119"/>
      <c r="F91" s="110"/>
      <c r="G91" s="110"/>
    </row>
    <row r="92" spans="1:11" ht="12.9" customHeight="1">
      <c r="A92" s="260"/>
      <c r="B92" s="111"/>
      <c r="C92" s="112"/>
      <c r="D92" s="120"/>
      <c r="E92" s="119"/>
      <c r="F92" s="121"/>
      <c r="G92" s="121"/>
      <c r="H92" s="87"/>
      <c r="I92" s="264" t="s">
        <v>63</v>
      </c>
    </row>
    <row r="93" spans="1:11" ht="13.2">
      <c r="A93" s="260"/>
      <c r="B93" s="108" t="s">
        <v>87</v>
      </c>
      <c r="C93" s="116" t="s">
        <v>90</v>
      </c>
      <c r="D93" s="116" t="s">
        <v>88</v>
      </c>
      <c r="E93" s="111"/>
      <c r="F93" s="110"/>
      <c r="G93" s="110"/>
      <c r="H93" s="90"/>
      <c r="I93" s="264"/>
    </row>
    <row r="94" spans="1:11" ht="13.2">
      <c r="A94" s="260"/>
      <c r="B94" s="118">
        <f>VLOOKUP(Kalk!K32,$M$2:$Q$8,3,0)</f>
        <v>30</v>
      </c>
      <c r="C94" s="118">
        <f>VLOOKUP(Kalk!K32,$M$2:$Q$8,4,0)</f>
        <v>25</v>
      </c>
      <c r="D94" s="118">
        <f>VLOOKUP(Kalk!K32,$M$2:$Q$8,5,0)</f>
        <v>30</v>
      </c>
      <c r="E94" s="111"/>
      <c r="F94" s="110"/>
      <c r="G94" s="110"/>
      <c r="H94" s="90"/>
      <c r="I94" s="99">
        <v>500</v>
      </c>
    </row>
    <row r="95" spans="1:11" ht="13.2">
      <c r="A95" s="260"/>
    </row>
    <row r="96" spans="1:11" ht="13.2">
      <c r="A96" s="260"/>
    </row>
    <row r="97" spans="1:11" ht="13.2"/>
    <row r="98" spans="1:11" ht="15.6">
      <c r="A98" s="260">
        <v>9</v>
      </c>
      <c r="B98" s="116" t="s">
        <v>73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118">
        <f>VLOOKUP(Kalk!K36,$M$2:$N$8,2,0)</f>
        <v>3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2*(C99+D99)+4*B99+B106</f>
        <v>42</v>
      </c>
      <c r="G99" s="91">
        <f>C106+D99+E99+4*B99+(D99+B99)/2+D106</f>
        <v>68.5</v>
      </c>
      <c r="H99" s="90">
        <f>(F99*G99)/1000000</f>
        <v>2.8770000000000002E-3</v>
      </c>
      <c r="I99" s="91">
        <f>I106/H99</f>
        <v>173792.14459506428</v>
      </c>
      <c r="J99" s="92">
        <f>C99+D99+4*B99</f>
        <v>12</v>
      </c>
      <c r="K99" s="92">
        <f>C106+D99+E99+4*B99</f>
        <v>37</v>
      </c>
    </row>
    <row r="100" spans="1:11" ht="13.2">
      <c r="A100" s="260"/>
      <c r="B100" s="89"/>
      <c r="C100" s="6"/>
      <c r="D100" s="6"/>
      <c r="E100" s="6"/>
      <c r="F100" s="91">
        <f>2*(C99+D99)+4*B99+B106</f>
        <v>42</v>
      </c>
      <c r="G100" s="91">
        <f>C106+D99+E99+4*B99+(D99+B99)/2+D106</f>
        <v>68.5</v>
      </c>
      <c r="H100" s="90">
        <f>(F100*G100)/1000000</f>
        <v>2.8770000000000002E-3</v>
      </c>
      <c r="I100" s="91">
        <f>I106/H100</f>
        <v>173792.14459506428</v>
      </c>
      <c r="J100" s="92">
        <f>C99+D99+4*B99</f>
        <v>12</v>
      </c>
      <c r="K100" s="92">
        <f>C106+D99+E99+4*B99</f>
        <v>37</v>
      </c>
    </row>
    <row r="101" spans="1:11" ht="13.2">
      <c r="A101" s="260"/>
      <c r="B101" s="89"/>
      <c r="C101" s="6"/>
      <c r="D101" s="6"/>
      <c r="E101" s="6"/>
      <c r="F101" s="91">
        <f>2*(C99+D99)+4*B99+B106</f>
        <v>42</v>
      </c>
      <c r="G101" s="91">
        <f>C106+D99+E99+4*B99+(D99+B99)/2+D106</f>
        <v>68.5</v>
      </c>
      <c r="H101" s="90">
        <f>(F101*G101)/1000000</f>
        <v>2.8770000000000002E-3</v>
      </c>
      <c r="I101" s="91">
        <f>I106/H101</f>
        <v>173792.14459506428</v>
      </c>
      <c r="J101" s="92">
        <f>C99+D99+4*B99</f>
        <v>12</v>
      </c>
      <c r="K101" s="92">
        <f>C106+D99+E99+4*B99</f>
        <v>37</v>
      </c>
    </row>
    <row r="102" spans="1:11" ht="13.2">
      <c r="A102" s="260"/>
      <c r="B102" s="89"/>
      <c r="C102" s="6"/>
      <c r="D102" s="6"/>
      <c r="E102" s="6"/>
      <c r="F102" s="91">
        <f>2*(C99+D99)+4*B99+B106</f>
        <v>42</v>
      </c>
      <c r="G102" s="91">
        <f>C106+D99+E99+4*B99+(D99+B99)/2+D106</f>
        <v>68.5</v>
      </c>
      <c r="H102" s="90">
        <f>(F102*G102)/1000000</f>
        <v>2.8770000000000002E-3</v>
      </c>
      <c r="I102" s="91">
        <f>I106/H102</f>
        <v>173792.14459506428</v>
      </c>
      <c r="J102" s="92">
        <f>C99+D99+4*B99</f>
        <v>12</v>
      </c>
      <c r="K102" s="92">
        <f>C106+D99+E99+4*B99</f>
        <v>37</v>
      </c>
    </row>
    <row r="103" spans="1:11" ht="13.2">
      <c r="A103" s="260"/>
      <c r="B103" s="89"/>
      <c r="C103" s="110"/>
      <c r="D103" s="117"/>
      <c r="E103" s="119"/>
      <c r="F103" s="110"/>
      <c r="G103" s="110"/>
    </row>
    <row r="104" spans="1:11" ht="12.9" customHeight="1">
      <c r="A104" s="260"/>
      <c r="B104" s="111"/>
      <c r="C104" s="112"/>
      <c r="D104" s="120"/>
      <c r="E104" s="119"/>
      <c r="F104" s="121"/>
      <c r="G104" s="121"/>
      <c r="H104" s="87"/>
      <c r="I104" s="264" t="s">
        <v>63</v>
      </c>
    </row>
    <row r="105" spans="1:11" ht="13.2">
      <c r="A105" s="260"/>
      <c r="B105" s="108" t="s">
        <v>87</v>
      </c>
      <c r="C105" s="116" t="s">
        <v>90</v>
      </c>
      <c r="D105" s="116" t="s">
        <v>88</v>
      </c>
      <c r="E105" s="111"/>
      <c r="F105" s="110"/>
      <c r="G105" s="110"/>
      <c r="H105" s="90"/>
      <c r="I105" s="264"/>
    </row>
    <row r="106" spans="1:11" ht="13.2">
      <c r="A106" s="260"/>
      <c r="B106" s="118">
        <f>VLOOKUP(Kalk!K36,$M$2:$Q$8,3,0)</f>
        <v>30</v>
      </c>
      <c r="C106" s="118">
        <f>VLOOKUP(Kalk!K36,$M$2:$Q$8,4,0)</f>
        <v>25</v>
      </c>
      <c r="D106" s="118">
        <f>VLOOKUP(Kalk!K36,$M$2:$Q$8,5,0)</f>
        <v>30</v>
      </c>
      <c r="E106" s="111"/>
      <c r="F106" s="110"/>
      <c r="G106" s="110"/>
      <c r="H106" s="90"/>
      <c r="I106" s="99">
        <v>500</v>
      </c>
    </row>
    <row r="107" spans="1:11" ht="13.2">
      <c r="A107" s="260"/>
    </row>
    <row r="108" spans="1:11" ht="13.2">
      <c r="A108" s="260"/>
    </row>
    <row r="109" spans="1:11" ht="13.2"/>
    <row r="110" spans="1:11" ht="15.6">
      <c r="A110" s="260">
        <v>10</v>
      </c>
      <c r="B110" s="116" t="s">
        <v>73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118">
        <f>VLOOKUP(Kalk!K40,$M$2:$N$8,2,0)</f>
        <v>3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2*(C111+D111)+4*B111+B118</f>
        <v>42</v>
      </c>
      <c r="G111" s="91">
        <f>C118+D111+E111+4*B111+(D111+B111)/2+D118</f>
        <v>68.5</v>
      </c>
      <c r="H111" s="90">
        <f>(F111*G111)/1000000</f>
        <v>2.8770000000000002E-3</v>
      </c>
      <c r="I111" s="91">
        <f>I118/H111</f>
        <v>173792.14459506428</v>
      </c>
      <c r="J111" s="92">
        <f>C111+D111+4*B111</f>
        <v>12</v>
      </c>
      <c r="K111" s="92">
        <f>C118+D111+E111+4*B111</f>
        <v>37</v>
      </c>
    </row>
    <row r="112" spans="1:11" ht="13.2">
      <c r="A112" s="260"/>
      <c r="B112" s="89"/>
      <c r="C112" s="6"/>
      <c r="D112" s="6"/>
      <c r="E112" s="6"/>
      <c r="F112" s="91">
        <f>2*(C111+D111)+4*B111+B118</f>
        <v>42</v>
      </c>
      <c r="G112" s="91">
        <f>C118+D111+E111+4*B111+(D111+B111)/2+D118</f>
        <v>68.5</v>
      </c>
      <c r="H112" s="90">
        <f>(F112*G112)/1000000</f>
        <v>2.8770000000000002E-3</v>
      </c>
      <c r="I112" s="91">
        <f>I118/H112</f>
        <v>173792.14459506428</v>
      </c>
      <c r="J112" s="92">
        <f>C111+D111+4*B111</f>
        <v>12</v>
      </c>
      <c r="K112" s="92">
        <f>C118+D111+E111+4*B111</f>
        <v>37</v>
      </c>
    </row>
    <row r="113" spans="1:11" ht="13.2">
      <c r="A113" s="260"/>
      <c r="B113" s="89"/>
      <c r="C113" s="6"/>
      <c r="D113" s="6"/>
      <c r="E113" s="6"/>
      <c r="F113" s="91">
        <f>2*(C111+D111)+4*B111+B118</f>
        <v>42</v>
      </c>
      <c r="G113" s="91">
        <f>C118+D111+E111+4*B111+(D111+B111)/2+D118</f>
        <v>68.5</v>
      </c>
      <c r="H113" s="90">
        <f>(F113*G113)/1000000</f>
        <v>2.8770000000000002E-3</v>
      </c>
      <c r="I113" s="91">
        <f>I118/H113</f>
        <v>173792.14459506428</v>
      </c>
      <c r="J113" s="92">
        <f>C111+D111+4*B111</f>
        <v>12</v>
      </c>
      <c r="K113" s="92">
        <f>C118+D111+E111+4*B111</f>
        <v>37</v>
      </c>
    </row>
    <row r="114" spans="1:11" ht="13.2">
      <c r="A114" s="260"/>
      <c r="B114" s="89"/>
      <c r="C114" s="6"/>
      <c r="D114" s="6"/>
      <c r="E114" s="6"/>
      <c r="F114" s="91">
        <f>2*(C111+D111)+4*B111+B118</f>
        <v>42</v>
      </c>
      <c r="G114" s="91">
        <f>C118+D111+E111+4*B111+(D111+B111)/2+D118</f>
        <v>68.5</v>
      </c>
      <c r="H114" s="90">
        <f>(F114*G114)/1000000</f>
        <v>2.8770000000000002E-3</v>
      </c>
      <c r="I114" s="91">
        <f>I118/H114</f>
        <v>173792.14459506428</v>
      </c>
      <c r="J114" s="92">
        <f>C111+D111+4*B111</f>
        <v>12</v>
      </c>
      <c r="K114" s="92">
        <f>C118+D111+E111+4*B111</f>
        <v>37</v>
      </c>
    </row>
    <row r="115" spans="1:11" ht="13.2">
      <c r="A115" s="260"/>
      <c r="B115" s="89"/>
      <c r="C115" s="110"/>
      <c r="D115" s="117"/>
      <c r="E115" s="119"/>
      <c r="F115" s="110"/>
      <c r="G115" s="110"/>
    </row>
    <row r="116" spans="1:11" ht="12.9" customHeight="1">
      <c r="A116" s="260"/>
      <c r="B116" s="111"/>
      <c r="C116" s="112"/>
      <c r="D116" s="120"/>
      <c r="E116" s="119"/>
      <c r="F116" s="121"/>
      <c r="G116" s="121"/>
      <c r="H116" s="87"/>
      <c r="I116" s="264" t="s">
        <v>63</v>
      </c>
    </row>
    <row r="117" spans="1:11" ht="13.2">
      <c r="A117" s="260"/>
      <c r="B117" s="108" t="s">
        <v>87</v>
      </c>
      <c r="C117" s="116" t="s">
        <v>90</v>
      </c>
      <c r="D117" s="116" t="s">
        <v>88</v>
      </c>
      <c r="E117" s="111"/>
      <c r="F117" s="110"/>
      <c r="G117" s="110"/>
      <c r="H117" s="90"/>
      <c r="I117" s="264"/>
    </row>
    <row r="118" spans="1:11" ht="13.2">
      <c r="A118" s="260"/>
      <c r="B118" s="118">
        <f>VLOOKUP(Kalk!K40,$M$2:$Q$8,3,0)</f>
        <v>30</v>
      </c>
      <c r="C118" s="118">
        <f>VLOOKUP(Kalk!K40,$M$2:$Q$8,4,0)</f>
        <v>25</v>
      </c>
      <c r="D118" s="118">
        <f>VLOOKUP(Kalk!K40,$M$2:$Q$8,5,0)</f>
        <v>30</v>
      </c>
      <c r="E118" s="111"/>
      <c r="F118" s="110"/>
      <c r="G118" s="110"/>
      <c r="H118" s="90"/>
      <c r="I118" s="99">
        <v>500</v>
      </c>
    </row>
    <row r="119" spans="1:11" ht="13.2">
      <c r="A119" s="260"/>
    </row>
    <row r="120" spans="1:11" ht="13.2">
      <c r="A120" s="260"/>
    </row>
  </sheetData>
  <mergeCells count="41">
    <mergeCell ref="M1:N1"/>
    <mergeCell ref="A2:A12"/>
    <mergeCell ref="F2:G2"/>
    <mergeCell ref="J2:K2"/>
    <mergeCell ref="I8:I9"/>
    <mergeCell ref="A14:A24"/>
    <mergeCell ref="F14:G14"/>
    <mergeCell ref="J14:K14"/>
    <mergeCell ref="I20:I21"/>
    <mergeCell ref="A26:A36"/>
    <mergeCell ref="F26:G26"/>
    <mergeCell ref="J26:K26"/>
    <mergeCell ref="I32:I33"/>
    <mergeCell ref="A38:A48"/>
    <mergeCell ref="F38:G38"/>
    <mergeCell ref="J38:K38"/>
    <mergeCell ref="I44:I45"/>
    <mergeCell ref="A50:A60"/>
    <mergeCell ref="F50:G50"/>
    <mergeCell ref="J50:K50"/>
    <mergeCell ref="I56:I57"/>
    <mergeCell ref="A62:A72"/>
    <mergeCell ref="F62:G62"/>
    <mergeCell ref="J62:K62"/>
    <mergeCell ref="I68:I69"/>
    <mergeCell ref="A74:A84"/>
    <mergeCell ref="F74:G74"/>
    <mergeCell ref="J74:K74"/>
    <mergeCell ref="I80:I81"/>
    <mergeCell ref="A110:A120"/>
    <mergeCell ref="F110:G110"/>
    <mergeCell ref="J110:K110"/>
    <mergeCell ref="I116:I117"/>
    <mergeCell ref="A86:A96"/>
    <mergeCell ref="F86:G86"/>
    <mergeCell ref="J86:K86"/>
    <mergeCell ref="I92:I93"/>
    <mergeCell ref="A98:A108"/>
    <mergeCell ref="F98:G98"/>
    <mergeCell ref="J98:K98"/>
    <mergeCell ref="I104:I105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FFC000"/>
    <pageSetUpPr fitToPage="1"/>
  </sheetPr>
  <dimension ref="A1:H18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8" ht="13.2">
      <c r="A1" s="126"/>
      <c r="B1" s="126"/>
      <c r="C1" s="126"/>
      <c r="D1" s="126"/>
      <c r="E1" s="126"/>
      <c r="F1" s="126"/>
      <c r="G1" s="126"/>
      <c r="H1" s="127" t="s">
        <v>91</v>
      </c>
    </row>
    <row r="2" spans="1:8" ht="17.399999999999999">
      <c r="A2" s="128" t="s">
        <v>77</v>
      </c>
      <c r="B2" s="126"/>
      <c r="C2" s="126"/>
      <c r="D2" s="126"/>
      <c r="E2" s="126"/>
      <c r="F2" s="126"/>
      <c r="G2" s="126"/>
      <c r="H2" s="126"/>
    </row>
    <row r="3" spans="1:8" ht="13.8">
      <c r="A3" s="129"/>
      <c r="B3" s="130"/>
      <c r="C3" s="131"/>
      <c r="D3" s="126"/>
      <c r="E3" s="126"/>
      <c r="F3" s="126"/>
      <c r="G3" s="132">
        <f>(A3+(B3*1.31)+C3+7)</f>
        <v>7</v>
      </c>
      <c r="H3" s="133">
        <f>_xlfn.CEILING.MATH(G3,5,1)</f>
        <v>10</v>
      </c>
    </row>
    <row r="4" spans="1:8" ht="13.2">
      <c r="A4" s="126"/>
      <c r="B4" s="126"/>
      <c r="C4" s="126"/>
      <c r="D4" s="126"/>
      <c r="E4" s="126"/>
      <c r="F4" s="126"/>
      <c r="G4" s="126"/>
      <c r="H4" s="126"/>
    </row>
    <row r="5" spans="1:8" ht="17.399999999999999">
      <c r="A5" s="128" t="s">
        <v>78</v>
      </c>
      <c r="B5" s="126"/>
      <c r="C5" s="126"/>
      <c r="D5" s="126"/>
      <c r="E5" s="126"/>
      <c r="F5" s="126"/>
      <c r="G5" s="126"/>
      <c r="H5" s="126"/>
    </row>
    <row r="6" spans="1:8" ht="13.8">
      <c r="A6" s="129"/>
      <c r="B6" s="130"/>
      <c r="C6" s="131"/>
      <c r="D6" s="126"/>
      <c r="E6" s="126"/>
      <c r="F6" s="126"/>
      <c r="G6" s="132">
        <f>(A6+(B6*1.42)+C6+7)</f>
        <v>7</v>
      </c>
      <c r="H6" s="133">
        <f>_xlfn.CEILING.MATH(G6,5,1)</f>
        <v>10</v>
      </c>
    </row>
    <row r="7" spans="1:8" ht="13.2">
      <c r="A7" s="126"/>
      <c r="B7" s="126"/>
      <c r="C7" s="126"/>
      <c r="D7" s="126"/>
      <c r="E7" s="126"/>
      <c r="F7" s="126"/>
      <c r="G7" s="126"/>
      <c r="H7" s="126"/>
    </row>
    <row r="8" spans="1:8" ht="17.399999999999999">
      <c r="A8" s="128" t="s">
        <v>76</v>
      </c>
      <c r="B8" s="126"/>
      <c r="C8" s="126"/>
      <c r="D8" s="126"/>
      <c r="E8" s="126"/>
      <c r="F8" s="126"/>
      <c r="G8" s="126"/>
      <c r="H8" s="126"/>
    </row>
    <row r="9" spans="1:8" ht="13.8">
      <c r="A9" s="129"/>
      <c r="B9" s="130"/>
      <c r="C9" s="131"/>
      <c r="D9" s="126"/>
      <c r="E9" s="126"/>
      <c r="F9" s="126"/>
      <c r="G9" s="132">
        <f>A9+(B9*1.24)+C9+7</f>
        <v>7</v>
      </c>
      <c r="H9" s="133">
        <f>_xlfn.CEILING.MATH(G9,5,1)</f>
        <v>10</v>
      </c>
    </row>
    <row r="10" spans="1:8" ht="13.2">
      <c r="A10" s="126"/>
      <c r="B10" s="126"/>
      <c r="C10" s="126"/>
      <c r="D10" s="126"/>
      <c r="E10" s="126"/>
      <c r="F10" s="126"/>
      <c r="G10" s="126"/>
      <c r="H10" s="126"/>
    </row>
    <row r="11" spans="1:8" ht="17.399999999999999">
      <c r="A11" s="128" t="s">
        <v>80</v>
      </c>
      <c r="B11" s="126"/>
      <c r="C11" s="126"/>
      <c r="D11" s="126"/>
      <c r="E11" s="126"/>
      <c r="F11" s="126"/>
      <c r="G11" s="126"/>
      <c r="H11" s="126"/>
    </row>
    <row r="12" spans="1:8" ht="13.8">
      <c r="A12" s="129"/>
      <c r="B12" s="130"/>
      <c r="C12" s="131"/>
      <c r="D12" s="134"/>
      <c r="E12" s="135"/>
      <c r="F12" s="126"/>
      <c r="G12" s="132">
        <f>A12+(B12*1.31)+C12+(D12*1.42)+E12+15</f>
        <v>15</v>
      </c>
      <c r="H12" s="133">
        <f>_xlfn.CEILING.MATH(G12,5,1)</f>
        <v>15</v>
      </c>
    </row>
    <row r="13" spans="1:8" ht="13.2">
      <c r="A13" s="126"/>
      <c r="B13" s="126"/>
      <c r="C13" s="126"/>
      <c r="D13" s="126"/>
      <c r="E13" s="126"/>
      <c r="F13" s="126"/>
      <c r="G13" s="126"/>
      <c r="H13" s="126"/>
    </row>
    <row r="14" spans="1:8" ht="17.399999999999999">
      <c r="A14" s="128" t="s">
        <v>79</v>
      </c>
      <c r="B14" s="126"/>
      <c r="C14" s="126"/>
      <c r="D14" s="126"/>
      <c r="E14" s="126"/>
      <c r="F14" s="126"/>
      <c r="G14" s="126"/>
      <c r="H14" s="126"/>
    </row>
    <row r="15" spans="1:8" ht="13.8">
      <c r="A15" s="129"/>
      <c r="B15" s="130"/>
      <c r="C15" s="131"/>
      <c r="D15" s="134"/>
      <c r="E15" s="136"/>
      <c r="F15" s="126"/>
      <c r="G15" s="132">
        <f>A15+(B15*1.24)+C15+(D15*1.31)+E15+15</f>
        <v>15</v>
      </c>
      <c r="H15" s="133">
        <f>_xlfn.CEILING.MATH(G15,5,1)</f>
        <v>15</v>
      </c>
    </row>
    <row r="16" spans="1:8" ht="13.2">
      <c r="A16" s="126"/>
      <c r="B16" s="126"/>
      <c r="C16" s="126"/>
      <c r="D16" s="126"/>
      <c r="E16" s="126"/>
      <c r="F16" s="126"/>
      <c r="G16" s="126"/>
      <c r="H16" s="126"/>
    </row>
    <row r="17" spans="1:8" ht="17.399999999999999">
      <c r="A17" s="128" t="s">
        <v>92</v>
      </c>
      <c r="B17" s="126"/>
      <c r="C17" s="126"/>
      <c r="D17" s="126"/>
      <c r="E17" s="126"/>
      <c r="F17" s="126"/>
      <c r="G17" s="126"/>
      <c r="H17" s="126"/>
    </row>
    <row r="18" spans="1:8" ht="13.8">
      <c r="A18" s="129"/>
      <c r="B18" s="130"/>
      <c r="C18" s="131"/>
      <c r="D18" s="134"/>
      <c r="E18" s="136"/>
      <c r="F18" s="126"/>
      <c r="G18" s="132">
        <f>A18+(B18*1.42)+C18+(D18*1.42)+E18+30</f>
        <v>30</v>
      </c>
      <c r="H18" s="133">
        <f>_xlfn.CEILING.MATH(G18,5,1)</f>
        <v>30</v>
      </c>
    </row>
  </sheetData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FFC000"/>
    <pageSetUpPr fitToPage="1"/>
  </sheetPr>
  <dimension ref="A1:O352"/>
  <sheetViews>
    <sheetView zoomScale="74" zoomScaleNormal="74" workbookViewId="0">
      <selection activeCell="H9" sqref="H9"/>
    </sheetView>
  </sheetViews>
  <sheetFormatPr defaultColWidth="11.5546875" defaultRowHeight="12.75" customHeight="1"/>
  <cols>
    <col min="1" max="1" width="26.5546875" customWidth="1"/>
    <col min="2" max="2" width="27.33203125" customWidth="1"/>
    <col min="3" max="3" width="13.109375" customWidth="1"/>
    <col min="4" max="4" width="70.88671875" customWidth="1"/>
    <col min="5" max="5" width="20.44140625" customWidth="1"/>
    <col min="7" max="9" width="16.33203125" customWidth="1"/>
    <col min="13" max="13" width="22.6640625" customWidth="1"/>
    <col min="14" max="14" width="22.5546875" customWidth="1"/>
    <col min="15" max="15" width="16.109375" customWidth="1"/>
  </cols>
  <sheetData>
    <row r="1" spans="1:15" ht="15.6">
      <c r="A1" s="137" t="s">
        <v>93</v>
      </c>
      <c r="B1" s="137" t="s">
        <v>94</v>
      </c>
      <c r="C1" s="137" t="s">
        <v>95</v>
      </c>
      <c r="D1" s="137" t="s">
        <v>96</v>
      </c>
      <c r="E1" s="137" t="s">
        <v>91</v>
      </c>
      <c r="F1" s="4" t="s">
        <v>97</v>
      </c>
      <c r="G1" s="4" t="s">
        <v>98</v>
      </c>
      <c r="H1" s="4"/>
      <c r="I1" s="4" t="s">
        <v>99</v>
      </c>
      <c r="J1" s="55" t="s">
        <v>100</v>
      </c>
      <c r="K1" s="138">
        <v>1.2</v>
      </c>
      <c r="L1" s="55" t="s">
        <v>97</v>
      </c>
      <c r="M1" s="55" t="s">
        <v>101</v>
      </c>
      <c r="N1" s="55" t="s">
        <v>102</v>
      </c>
      <c r="O1" s="84" t="s">
        <v>103</v>
      </c>
    </row>
    <row r="2" spans="1:15" ht="15.6">
      <c r="A2" s="139" t="s">
        <v>104</v>
      </c>
      <c r="B2" s="139" t="s">
        <v>105</v>
      </c>
      <c r="C2" s="140">
        <v>2.09</v>
      </c>
      <c r="D2" s="139" t="s">
        <v>106</v>
      </c>
      <c r="E2" s="141">
        <v>458</v>
      </c>
      <c r="F2" s="4" t="s">
        <v>77</v>
      </c>
      <c r="G2" s="4" t="s">
        <v>107</v>
      </c>
      <c r="H2" s="142" t="str">
        <f>VLOOKUP(Kalk!K6,$A$1:$G$353,7)</f>
        <v>progroup</v>
      </c>
      <c r="I2" s="137"/>
      <c r="J2" s="137"/>
      <c r="K2" s="4"/>
      <c r="L2" s="55" t="s">
        <v>76</v>
      </c>
      <c r="M2" s="55">
        <v>500</v>
      </c>
      <c r="N2" s="55">
        <v>1000</v>
      </c>
      <c r="O2" s="143">
        <v>340</v>
      </c>
    </row>
    <row r="3" spans="1:15" ht="15.6">
      <c r="A3" s="139" t="s">
        <v>108</v>
      </c>
      <c r="B3" s="139" t="s">
        <v>109</v>
      </c>
      <c r="C3" s="140">
        <v>1.92</v>
      </c>
      <c r="D3" s="139" t="s">
        <v>110</v>
      </c>
      <c r="E3" s="141">
        <v>458</v>
      </c>
      <c r="F3" s="4" t="s">
        <v>77</v>
      </c>
      <c r="G3" s="4" t="s">
        <v>107</v>
      </c>
      <c r="H3" s="142" t="str">
        <f>VLOOKUP(Kalk!K10,$A$1:$G$353,7)</f>
        <v>aquila</v>
      </c>
      <c r="I3" s="137"/>
      <c r="J3" s="4"/>
      <c r="K3" s="4"/>
      <c r="L3" s="55" t="s">
        <v>77</v>
      </c>
      <c r="M3" s="55">
        <v>300</v>
      </c>
      <c r="N3" s="55">
        <v>700</v>
      </c>
      <c r="O3" s="143">
        <v>230</v>
      </c>
    </row>
    <row r="4" spans="1:15" ht="15.6">
      <c r="A4" s="139" t="s">
        <v>111</v>
      </c>
      <c r="B4" s="139" t="s">
        <v>112</v>
      </c>
      <c r="C4" s="140">
        <v>1.53</v>
      </c>
      <c r="D4" s="139" t="s">
        <v>113</v>
      </c>
      <c r="E4" s="141">
        <v>400</v>
      </c>
      <c r="F4" s="4" t="s">
        <v>77</v>
      </c>
      <c r="G4" s="4" t="s">
        <v>114</v>
      </c>
      <c r="H4" s="142" t="str">
        <f>VLOOKUP(Kalk!K14,$A$1:$G$353,7)</f>
        <v>bart</v>
      </c>
      <c r="I4" s="137"/>
      <c r="J4" s="137"/>
      <c r="K4" s="4"/>
      <c r="L4" s="55" t="s">
        <v>78</v>
      </c>
      <c r="M4" s="55">
        <v>250</v>
      </c>
      <c r="N4" s="55">
        <v>500</v>
      </c>
      <c r="O4" s="143">
        <v>170</v>
      </c>
    </row>
    <row r="5" spans="1:15" ht="15.6">
      <c r="A5" s="139" t="s">
        <v>115</v>
      </c>
      <c r="B5" s="139" t="s">
        <v>116</v>
      </c>
      <c r="C5" s="140">
        <v>1.57</v>
      </c>
      <c r="D5" s="139" t="s">
        <v>117</v>
      </c>
      <c r="E5" s="141">
        <v>455</v>
      </c>
      <c r="F5" s="4" t="s">
        <v>77</v>
      </c>
      <c r="G5" s="4" t="s">
        <v>114</v>
      </c>
      <c r="H5" s="142" t="str">
        <f>VLOOKUP(Kalk!K18,$A$1:$G$353,7)</f>
        <v>bart</v>
      </c>
      <c r="I5" s="137"/>
      <c r="J5" s="137"/>
      <c r="K5" s="4"/>
      <c r="L5" s="55" t="s">
        <v>80</v>
      </c>
      <c r="M5" s="55">
        <v>150</v>
      </c>
      <c r="N5" s="55">
        <v>300</v>
      </c>
      <c r="O5" s="143">
        <v>50</v>
      </c>
    </row>
    <row r="6" spans="1:15" ht="15.6">
      <c r="A6" s="139" t="s">
        <v>118</v>
      </c>
      <c r="B6" s="139" t="s">
        <v>119</v>
      </c>
      <c r="C6" s="140">
        <v>1.07</v>
      </c>
      <c r="D6" s="139" t="s">
        <v>120</v>
      </c>
      <c r="E6" s="141">
        <v>385</v>
      </c>
      <c r="F6" s="4" t="s">
        <v>77</v>
      </c>
      <c r="G6" s="4" t="s">
        <v>121</v>
      </c>
      <c r="H6" s="142" t="str">
        <f>VLOOKUP(Kalk!K22,$A$1:$G$353,7)</f>
        <v>bart</v>
      </c>
      <c r="I6" s="137"/>
      <c r="J6" s="137"/>
      <c r="K6" s="4"/>
      <c r="L6" s="55" t="s">
        <v>79</v>
      </c>
      <c r="M6" s="55">
        <v>210</v>
      </c>
      <c r="N6" s="55">
        <v>420</v>
      </c>
      <c r="O6" s="143">
        <v>70</v>
      </c>
    </row>
    <row r="7" spans="1:15" ht="15.6">
      <c r="A7" s="139" t="s">
        <v>122</v>
      </c>
      <c r="B7" s="139" t="s">
        <v>123</v>
      </c>
      <c r="C7" s="140">
        <v>1.9</v>
      </c>
      <c r="D7" s="139" t="s">
        <v>124</v>
      </c>
      <c r="E7" s="141">
        <v>458</v>
      </c>
      <c r="F7" s="4" t="s">
        <v>77</v>
      </c>
      <c r="G7" s="4" t="s">
        <v>107</v>
      </c>
      <c r="H7" s="142" t="str">
        <f>VLOOKUP(Kalk!K26,$A$1:$G$353,7)</f>
        <v>bart</v>
      </c>
      <c r="I7" s="137"/>
      <c r="J7" s="137"/>
      <c r="K7" s="4"/>
      <c r="L7" s="55" t="s">
        <v>86</v>
      </c>
      <c r="M7" s="55">
        <v>80</v>
      </c>
      <c r="N7" s="55">
        <v>160</v>
      </c>
      <c r="O7" s="143"/>
    </row>
    <row r="8" spans="1:15" ht="15.6">
      <c r="A8" s="139" t="s">
        <v>125</v>
      </c>
      <c r="B8" s="139" t="s">
        <v>126</v>
      </c>
      <c r="C8" s="140">
        <v>1.46</v>
      </c>
      <c r="D8" s="139" t="s">
        <v>127</v>
      </c>
      <c r="E8" s="141">
        <v>455</v>
      </c>
      <c r="F8" s="4" t="s">
        <v>77</v>
      </c>
      <c r="G8" s="4" t="s">
        <v>121</v>
      </c>
      <c r="H8" s="142" t="str">
        <f>VLOOKUP(Kalk!K30,$A$1:$G$353,7)</f>
        <v>bart</v>
      </c>
      <c r="I8" s="137"/>
      <c r="J8" s="4"/>
      <c r="K8" s="4"/>
      <c r="L8" s="4"/>
      <c r="M8" s="4"/>
      <c r="N8" s="4"/>
    </row>
    <row r="9" spans="1:15" ht="15.6">
      <c r="A9" s="139" t="s">
        <v>128</v>
      </c>
      <c r="B9" s="139" t="s">
        <v>129</v>
      </c>
      <c r="C9" s="140">
        <v>1.71</v>
      </c>
      <c r="D9" s="139" t="s">
        <v>130</v>
      </c>
      <c r="E9" s="141">
        <v>495</v>
      </c>
      <c r="F9" s="4" t="s">
        <v>77</v>
      </c>
      <c r="G9" s="4" t="s">
        <v>121</v>
      </c>
      <c r="H9" s="142" t="str">
        <f>VLOOKUP(Kalk!K34,$A$1:$G$353,7)</f>
        <v>bart</v>
      </c>
      <c r="I9" s="137"/>
      <c r="J9" s="137"/>
      <c r="K9" s="4"/>
      <c r="L9" s="4"/>
      <c r="M9" s="4"/>
      <c r="N9" s="4"/>
    </row>
    <row r="10" spans="1:15" ht="15.6">
      <c r="A10" s="139" t="s">
        <v>131</v>
      </c>
      <c r="B10" s="139" t="s">
        <v>132</v>
      </c>
      <c r="C10" s="140">
        <v>1.81</v>
      </c>
      <c r="D10" s="139" t="s">
        <v>133</v>
      </c>
      <c r="E10" s="141">
        <v>535</v>
      </c>
      <c r="F10" s="4" t="s">
        <v>77</v>
      </c>
      <c r="G10" s="4" t="s">
        <v>121</v>
      </c>
      <c r="H10" s="142" t="str">
        <f>VLOOKUP(Kalk!K38,$A$1:$G$353,7)</f>
        <v>bart</v>
      </c>
      <c r="I10" s="137"/>
      <c r="J10" s="137"/>
      <c r="K10" s="4"/>
      <c r="L10" s="4"/>
      <c r="M10" s="4"/>
      <c r="N10" s="4"/>
    </row>
    <row r="11" spans="1:15" ht="15.6">
      <c r="A11" s="139" t="s">
        <v>134</v>
      </c>
      <c r="B11" s="139" t="s">
        <v>135</v>
      </c>
      <c r="C11" s="140">
        <v>1.91</v>
      </c>
      <c r="D11" s="139" t="s">
        <v>136</v>
      </c>
      <c r="E11" s="141">
        <v>565</v>
      </c>
      <c r="F11" s="4" t="s">
        <v>77</v>
      </c>
      <c r="G11" s="4" t="s">
        <v>121</v>
      </c>
      <c r="H11" s="142" t="str">
        <f>VLOOKUP(Kalk!K42,$A$1:$G$353,7)</f>
        <v>bart</v>
      </c>
      <c r="I11" s="137"/>
      <c r="J11" s="137"/>
      <c r="K11" s="4"/>
      <c r="L11" s="4"/>
      <c r="M11" s="4"/>
      <c r="N11" s="4"/>
    </row>
    <row r="12" spans="1:15" ht="15.6">
      <c r="A12" s="139" t="s">
        <v>137</v>
      </c>
      <c r="B12" s="139" t="s">
        <v>138</v>
      </c>
      <c r="C12" s="140">
        <v>2.11</v>
      </c>
      <c r="D12" s="139" t="s">
        <v>139</v>
      </c>
      <c r="E12" s="141">
        <v>580</v>
      </c>
      <c r="F12" s="4" t="s">
        <v>77</v>
      </c>
      <c r="G12" s="4" t="s">
        <v>121</v>
      </c>
      <c r="H12" s="4"/>
      <c r="I12" s="137"/>
      <c r="J12" s="137"/>
      <c r="K12" s="4"/>
      <c r="L12" s="4"/>
      <c r="M12" s="4"/>
      <c r="N12" s="4"/>
    </row>
    <row r="13" spans="1:15" ht="15.6">
      <c r="A13" s="139" t="s">
        <v>140</v>
      </c>
      <c r="B13" s="139" t="s">
        <v>141</v>
      </c>
      <c r="C13" s="140">
        <v>1.68</v>
      </c>
      <c r="D13" s="139" t="s">
        <v>142</v>
      </c>
      <c r="E13" s="141">
        <v>435</v>
      </c>
      <c r="F13" s="4" t="s">
        <v>77</v>
      </c>
      <c r="G13" s="4" t="s">
        <v>114</v>
      </c>
      <c r="H13" s="4"/>
      <c r="I13" s="137"/>
      <c r="J13" s="137"/>
      <c r="K13" s="4"/>
      <c r="L13" s="4"/>
      <c r="M13" s="4"/>
      <c r="N13" s="4"/>
    </row>
    <row r="14" spans="1:15" ht="15.6">
      <c r="A14" s="139" t="s">
        <v>143</v>
      </c>
      <c r="B14" s="139" t="s">
        <v>144</v>
      </c>
      <c r="C14" s="140">
        <v>1.89</v>
      </c>
      <c r="D14" s="139" t="s">
        <v>145</v>
      </c>
      <c r="E14" s="141">
        <v>500</v>
      </c>
      <c r="F14" s="4" t="s">
        <v>77</v>
      </c>
      <c r="G14" s="4" t="s">
        <v>114</v>
      </c>
      <c r="H14" s="4"/>
      <c r="I14" s="137"/>
      <c r="J14" s="137"/>
      <c r="K14" s="4"/>
      <c r="L14" s="4"/>
      <c r="M14" s="4"/>
      <c r="N14" s="4"/>
    </row>
    <row r="15" spans="1:15" ht="15.6">
      <c r="A15" s="139" t="s">
        <v>146</v>
      </c>
      <c r="B15" s="139" t="s">
        <v>147</v>
      </c>
      <c r="C15" s="140">
        <v>1.64</v>
      </c>
      <c r="D15" s="139" t="s">
        <v>148</v>
      </c>
      <c r="E15" s="141">
        <v>455</v>
      </c>
      <c r="F15" s="4" t="s">
        <v>77</v>
      </c>
      <c r="G15" s="4" t="s">
        <v>114</v>
      </c>
      <c r="H15" s="4"/>
      <c r="I15" s="137"/>
      <c r="J15" s="137"/>
      <c r="K15" s="4"/>
      <c r="L15" s="4"/>
      <c r="M15" s="4"/>
      <c r="N15" s="4"/>
    </row>
    <row r="16" spans="1:15" ht="15.6">
      <c r="A16" s="139" t="s">
        <v>149</v>
      </c>
      <c r="B16" s="139" t="s">
        <v>150</v>
      </c>
      <c r="C16" s="140">
        <v>1.33</v>
      </c>
      <c r="D16" s="139" t="s">
        <v>151</v>
      </c>
      <c r="E16" s="141">
        <v>469</v>
      </c>
      <c r="F16" s="4" t="s">
        <v>77</v>
      </c>
      <c r="G16" s="4" t="s">
        <v>152</v>
      </c>
      <c r="H16" s="4"/>
      <c r="I16" s="137"/>
      <c r="J16" s="137"/>
      <c r="K16" s="4"/>
      <c r="L16" s="4"/>
      <c r="M16" s="4"/>
      <c r="N16" s="4"/>
    </row>
    <row r="17" spans="1:14" ht="15.6">
      <c r="A17" s="139" t="s">
        <v>54</v>
      </c>
      <c r="B17" s="139" t="s">
        <v>153</v>
      </c>
      <c r="C17" s="140">
        <v>0.78</v>
      </c>
      <c r="D17" s="139" t="s">
        <v>154</v>
      </c>
      <c r="E17" s="141">
        <v>274</v>
      </c>
      <c r="F17" s="4" t="s">
        <v>77</v>
      </c>
      <c r="G17" s="4" t="s">
        <v>107</v>
      </c>
      <c r="H17" s="4"/>
      <c r="I17" s="137"/>
      <c r="J17" s="137"/>
      <c r="K17" s="4"/>
      <c r="L17" s="4"/>
      <c r="M17" s="4"/>
      <c r="N17" s="4"/>
    </row>
    <row r="18" spans="1:14" ht="15.6">
      <c r="A18" s="139" t="s">
        <v>155</v>
      </c>
      <c r="B18" s="139" t="s">
        <v>156</v>
      </c>
      <c r="C18" s="140">
        <v>0.93</v>
      </c>
      <c r="D18" s="139" t="s">
        <v>157</v>
      </c>
      <c r="E18" s="141">
        <v>355</v>
      </c>
      <c r="F18" s="4" t="s">
        <v>77</v>
      </c>
      <c r="G18" s="4" t="s">
        <v>114</v>
      </c>
      <c r="H18" s="4"/>
      <c r="I18" s="137"/>
      <c r="J18" s="137"/>
      <c r="K18" s="4"/>
      <c r="L18" s="4"/>
      <c r="M18" s="4"/>
      <c r="N18" s="4"/>
    </row>
    <row r="19" spans="1:14" ht="15.6">
      <c r="A19" s="139" t="s">
        <v>158</v>
      </c>
      <c r="B19" s="139" t="s">
        <v>159</v>
      </c>
      <c r="C19" s="140">
        <v>0.88</v>
      </c>
      <c r="D19" s="139" t="s">
        <v>160</v>
      </c>
      <c r="E19" s="141">
        <v>296</v>
      </c>
      <c r="F19" s="4" t="s">
        <v>77</v>
      </c>
      <c r="G19" s="4" t="s">
        <v>152</v>
      </c>
      <c r="H19" s="4"/>
      <c r="I19" s="137"/>
      <c r="J19" s="137"/>
      <c r="K19" s="4"/>
      <c r="L19" s="4"/>
      <c r="M19" s="4"/>
      <c r="N19" s="4"/>
    </row>
    <row r="20" spans="1:14" ht="15.6">
      <c r="A20" s="139" t="s">
        <v>161</v>
      </c>
      <c r="B20" s="139" t="s">
        <v>162</v>
      </c>
      <c r="C20" s="140">
        <v>0.89</v>
      </c>
      <c r="D20" s="139" t="s">
        <v>163</v>
      </c>
      <c r="E20" s="141">
        <v>309</v>
      </c>
      <c r="F20" s="4" t="s">
        <v>77</v>
      </c>
      <c r="G20" s="4" t="s">
        <v>152</v>
      </c>
      <c r="H20" s="4"/>
      <c r="I20" s="137"/>
      <c r="J20" s="137"/>
      <c r="K20" s="4"/>
      <c r="L20" s="4"/>
      <c r="M20" s="4"/>
      <c r="N20" s="4"/>
    </row>
    <row r="21" spans="1:14" ht="15.6">
      <c r="A21" s="139" t="s">
        <v>164</v>
      </c>
      <c r="B21" s="139" t="s">
        <v>165</v>
      </c>
      <c r="C21" s="140">
        <v>0.94</v>
      </c>
      <c r="D21" s="139" t="s">
        <v>166</v>
      </c>
      <c r="E21" s="141">
        <v>342</v>
      </c>
      <c r="F21" s="4" t="s">
        <v>77</v>
      </c>
      <c r="G21" s="4" t="s">
        <v>152</v>
      </c>
      <c r="H21" s="4"/>
      <c r="I21" s="137"/>
      <c r="J21" s="137"/>
      <c r="K21" s="4"/>
      <c r="L21" s="4"/>
      <c r="M21" s="4"/>
      <c r="N21" s="4"/>
    </row>
    <row r="22" spans="1:14" ht="15.6">
      <c r="A22" s="139" t="s">
        <v>167</v>
      </c>
      <c r="B22" s="139" t="s">
        <v>168</v>
      </c>
      <c r="C22" s="140">
        <v>0.98</v>
      </c>
      <c r="D22" s="139" t="s">
        <v>169</v>
      </c>
      <c r="E22" s="141">
        <v>362</v>
      </c>
      <c r="F22" s="4" t="s">
        <v>77</v>
      </c>
      <c r="G22" s="4" t="s">
        <v>152</v>
      </c>
      <c r="H22" s="4"/>
      <c r="I22" s="137"/>
      <c r="J22" s="137"/>
      <c r="K22" s="4"/>
      <c r="L22" s="4"/>
      <c r="M22" s="4"/>
      <c r="N22" s="4"/>
    </row>
    <row r="23" spans="1:14" ht="15.6">
      <c r="A23" s="139" t="s">
        <v>170</v>
      </c>
      <c r="B23" s="139" t="s">
        <v>171</v>
      </c>
      <c r="C23" s="140">
        <v>1.02</v>
      </c>
      <c r="D23" s="139" t="s">
        <v>172</v>
      </c>
      <c r="E23" s="141">
        <v>382</v>
      </c>
      <c r="F23" s="4" t="s">
        <v>77</v>
      </c>
      <c r="G23" s="4" t="s">
        <v>152</v>
      </c>
      <c r="H23" s="4"/>
      <c r="I23" s="137"/>
      <c r="J23" s="137"/>
      <c r="K23" s="4"/>
      <c r="L23" s="4"/>
      <c r="M23" s="4"/>
      <c r="N23" s="4"/>
    </row>
    <row r="24" spans="1:14" ht="15.6">
      <c r="A24" s="139" t="s">
        <v>173</v>
      </c>
      <c r="B24" s="139" t="s">
        <v>174</v>
      </c>
      <c r="C24" s="140">
        <v>1.06</v>
      </c>
      <c r="D24" s="139" t="s">
        <v>175</v>
      </c>
      <c r="E24" s="141">
        <v>402</v>
      </c>
      <c r="F24" s="4" t="s">
        <v>77</v>
      </c>
      <c r="G24" s="4" t="s">
        <v>152</v>
      </c>
      <c r="H24" s="4"/>
      <c r="I24" s="137"/>
      <c r="J24" s="137"/>
      <c r="K24" s="4"/>
      <c r="L24" s="4"/>
      <c r="M24" s="4"/>
      <c r="N24" s="4"/>
    </row>
    <row r="25" spans="1:14" ht="15.6">
      <c r="A25" s="139" t="s">
        <v>176</v>
      </c>
      <c r="B25" s="139" t="s">
        <v>177</v>
      </c>
      <c r="C25" s="140">
        <v>1.1000000000000001</v>
      </c>
      <c r="D25" s="139" t="s">
        <v>178</v>
      </c>
      <c r="E25" s="141">
        <v>422</v>
      </c>
      <c r="F25" s="4" t="s">
        <v>77</v>
      </c>
      <c r="G25" s="4" t="s">
        <v>152</v>
      </c>
      <c r="H25" s="4"/>
      <c r="I25" s="137"/>
      <c r="J25" s="137"/>
      <c r="K25" s="4"/>
      <c r="L25" s="4"/>
      <c r="M25" s="4"/>
      <c r="N25" s="4"/>
    </row>
    <row r="26" spans="1:14" ht="15.6">
      <c r="A26" s="139" t="s">
        <v>179</v>
      </c>
      <c r="B26" s="139" t="s">
        <v>180</v>
      </c>
      <c r="C26" s="140">
        <v>1.1599999999999999</v>
      </c>
      <c r="D26" s="139" t="s">
        <v>181</v>
      </c>
      <c r="E26" s="141">
        <v>454</v>
      </c>
      <c r="F26" s="4" t="s">
        <v>77</v>
      </c>
      <c r="G26" s="4" t="s">
        <v>152</v>
      </c>
      <c r="H26" s="4"/>
      <c r="I26" s="137"/>
      <c r="J26" s="137"/>
      <c r="K26" s="4"/>
      <c r="L26" s="4"/>
      <c r="M26" s="4"/>
      <c r="N26" s="4"/>
    </row>
    <row r="27" spans="1:14" ht="15.6">
      <c r="A27" s="139" t="s">
        <v>182</v>
      </c>
      <c r="B27" s="139" t="s">
        <v>183</v>
      </c>
      <c r="C27" s="140">
        <v>1.22</v>
      </c>
      <c r="D27" s="139" t="s">
        <v>184</v>
      </c>
      <c r="E27" s="141">
        <v>478</v>
      </c>
      <c r="F27" s="4" t="s">
        <v>77</v>
      </c>
      <c r="G27" s="4" t="s">
        <v>152</v>
      </c>
      <c r="H27" s="4"/>
      <c r="I27" s="137"/>
      <c r="J27" s="137"/>
      <c r="K27" s="4"/>
      <c r="L27" s="4"/>
      <c r="M27" s="4"/>
      <c r="N27" s="4"/>
    </row>
    <row r="28" spans="1:14" ht="15.6">
      <c r="A28" s="139" t="s">
        <v>185</v>
      </c>
      <c r="B28" s="139" t="s">
        <v>186</v>
      </c>
      <c r="C28" s="140">
        <v>1.27</v>
      </c>
      <c r="D28" s="139" t="s">
        <v>187</v>
      </c>
      <c r="E28" s="141">
        <v>508</v>
      </c>
      <c r="F28" s="4" t="s">
        <v>77</v>
      </c>
      <c r="G28" s="4" t="s">
        <v>152</v>
      </c>
      <c r="H28" s="4"/>
      <c r="I28" s="137"/>
      <c r="J28" s="137"/>
      <c r="K28" s="4"/>
      <c r="L28" s="4"/>
      <c r="M28" s="4"/>
      <c r="N28" s="4"/>
    </row>
    <row r="29" spans="1:14" ht="15.6">
      <c r="A29" s="139" t="s">
        <v>188</v>
      </c>
      <c r="B29" s="139" t="s">
        <v>189</v>
      </c>
      <c r="C29" s="140">
        <v>0.97</v>
      </c>
      <c r="D29" s="139" t="s">
        <v>190</v>
      </c>
      <c r="E29" s="141">
        <v>352</v>
      </c>
      <c r="F29" s="4" t="s">
        <v>77</v>
      </c>
      <c r="G29" s="4" t="s">
        <v>152</v>
      </c>
      <c r="H29" s="4"/>
      <c r="I29" s="137"/>
      <c r="J29" s="137"/>
      <c r="K29" s="4"/>
      <c r="L29" s="4"/>
      <c r="M29" s="4"/>
      <c r="N29" s="4"/>
    </row>
    <row r="30" spans="1:14" ht="15.6">
      <c r="A30" s="139" t="s">
        <v>191</v>
      </c>
      <c r="B30" s="139" t="s">
        <v>192</v>
      </c>
      <c r="C30" s="140">
        <v>0.92</v>
      </c>
      <c r="D30" s="139" t="s">
        <v>193</v>
      </c>
      <c r="E30" s="141">
        <v>340</v>
      </c>
      <c r="F30" s="4" t="s">
        <v>77</v>
      </c>
      <c r="G30" s="4" t="s">
        <v>114</v>
      </c>
      <c r="H30" s="4"/>
      <c r="I30" s="137"/>
      <c r="J30" s="137"/>
      <c r="K30" s="4"/>
      <c r="L30" s="4"/>
      <c r="M30" s="4"/>
      <c r="N30" s="4"/>
    </row>
    <row r="31" spans="1:14" ht="15.6">
      <c r="A31" s="139" t="s">
        <v>194</v>
      </c>
      <c r="B31" s="139" t="s">
        <v>195</v>
      </c>
      <c r="C31" s="140">
        <v>1</v>
      </c>
      <c r="D31" s="139" t="s">
        <v>196</v>
      </c>
      <c r="E31" s="141">
        <v>385</v>
      </c>
      <c r="F31" s="4" t="s">
        <v>77</v>
      </c>
      <c r="G31" s="4" t="s">
        <v>114</v>
      </c>
      <c r="H31" s="4"/>
      <c r="I31" s="137"/>
      <c r="J31" s="137"/>
      <c r="K31" s="4"/>
      <c r="L31" s="4"/>
      <c r="M31" s="4"/>
      <c r="N31" s="4"/>
    </row>
    <row r="32" spans="1:14" ht="15.6">
      <c r="A32" s="139" t="s">
        <v>197</v>
      </c>
      <c r="B32" s="139" t="s">
        <v>198</v>
      </c>
      <c r="C32" s="140">
        <v>1.02</v>
      </c>
      <c r="D32" s="139" t="s">
        <v>199</v>
      </c>
      <c r="E32" s="141">
        <v>410</v>
      </c>
      <c r="F32" s="4" t="s">
        <v>77</v>
      </c>
      <c r="G32" s="4" t="s">
        <v>114</v>
      </c>
      <c r="H32" s="4"/>
      <c r="I32" s="137"/>
      <c r="J32" s="137"/>
      <c r="K32" s="4"/>
      <c r="L32" s="4"/>
      <c r="M32" s="4"/>
      <c r="N32" s="4"/>
    </row>
    <row r="33" spans="1:14" ht="15.6">
      <c r="A33" s="139" t="s">
        <v>200</v>
      </c>
      <c r="B33" s="139" t="s">
        <v>201</v>
      </c>
      <c r="C33" s="140">
        <v>1.07</v>
      </c>
      <c r="D33" s="139" t="s">
        <v>202</v>
      </c>
      <c r="E33" s="141">
        <v>375</v>
      </c>
      <c r="F33" s="4" t="s">
        <v>77</v>
      </c>
      <c r="G33" s="4" t="s">
        <v>114</v>
      </c>
      <c r="H33" s="4"/>
      <c r="I33" s="137"/>
      <c r="J33" s="137"/>
      <c r="K33" s="4"/>
      <c r="L33" s="4"/>
      <c r="M33" s="4"/>
      <c r="N33" s="4"/>
    </row>
    <row r="34" spans="1:14" ht="15.6">
      <c r="A34" s="139" t="s">
        <v>203</v>
      </c>
      <c r="B34" s="139" t="s">
        <v>204</v>
      </c>
      <c r="C34" s="140">
        <v>1.17</v>
      </c>
      <c r="D34" s="139" t="s">
        <v>205</v>
      </c>
      <c r="E34" s="141">
        <v>405</v>
      </c>
      <c r="F34" s="4" t="s">
        <v>77</v>
      </c>
      <c r="G34" s="4" t="s">
        <v>114</v>
      </c>
      <c r="H34" s="4"/>
      <c r="I34" s="137"/>
      <c r="J34" s="137"/>
      <c r="K34" s="4"/>
      <c r="L34" s="4"/>
      <c r="M34" s="4"/>
      <c r="N34" s="4"/>
    </row>
    <row r="35" spans="1:14" ht="15.6">
      <c r="A35" s="139" t="s">
        <v>206</v>
      </c>
      <c r="B35" s="139" t="s">
        <v>207</v>
      </c>
      <c r="C35" s="140">
        <v>1.19</v>
      </c>
      <c r="D35" s="139" t="s">
        <v>208</v>
      </c>
      <c r="E35" s="141">
        <v>430</v>
      </c>
      <c r="F35" s="4" t="s">
        <v>77</v>
      </c>
      <c r="G35" s="4" t="s">
        <v>114</v>
      </c>
      <c r="H35" s="4"/>
      <c r="I35" s="137"/>
      <c r="J35" s="137"/>
      <c r="K35" s="4"/>
      <c r="L35" s="4"/>
      <c r="M35" s="4"/>
      <c r="N35" s="4"/>
    </row>
    <row r="36" spans="1:14" ht="15.6">
      <c r="A36" s="139" t="s">
        <v>209</v>
      </c>
      <c r="B36" s="139" t="s">
        <v>210</v>
      </c>
      <c r="C36" s="140">
        <v>1.1100000000000001</v>
      </c>
      <c r="D36" s="139" t="s">
        <v>211</v>
      </c>
      <c r="E36" s="141">
        <v>395</v>
      </c>
      <c r="F36" s="4" t="s">
        <v>77</v>
      </c>
      <c r="G36" s="4" t="s">
        <v>114</v>
      </c>
      <c r="H36" s="4"/>
      <c r="I36" s="137"/>
      <c r="J36" s="137"/>
      <c r="K36" s="4"/>
      <c r="L36" s="4"/>
      <c r="M36" s="4"/>
      <c r="N36" s="4"/>
    </row>
    <row r="37" spans="1:14" ht="15.6">
      <c r="A37" s="139" t="s">
        <v>212</v>
      </c>
      <c r="B37" s="139" t="s">
        <v>213</v>
      </c>
      <c r="C37" s="140">
        <v>1.2</v>
      </c>
      <c r="D37" s="139" t="s">
        <v>214</v>
      </c>
      <c r="E37" s="141">
        <v>450</v>
      </c>
      <c r="F37" s="4" t="s">
        <v>77</v>
      </c>
      <c r="G37" s="4" t="s">
        <v>114</v>
      </c>
      <c r="H37" s="4"/>
      <c r="I37" s="137"/>
      <c r="J37" s="137"/>
      <c r="K37" s="4"/>
      <c r="L37" s="4"/>
      <c r="M37" s="4"/>
      <c r="N37" s="4"/>
    </row>
    <row r="38" spans="1:14" ht="15.6">
      <c r="A38" s="139" t="s">
        <v>215</v>
      </c>
      <c r="B38" s="139" t="s">
        <v>216</v>
      </c>
      <c r="C38" s="140">
        <v>1.22</v>
      </c>
      <c r="D38" s="139" t="s">
        <v>217</v>
      </c>
      <c r="E38" s="141">
        <v>495</v>
      </c>
      <c r="F38" s="4" t="s">
        <v>77</v>
      </c>
      <c r="G38" s="4" t="s">
        <v>114</v>
      </c>
      <c r="H38" s="4"/>
      <c r="I38" s="137"/>
      <c r="J38" s="137"/>
      <c r="K38" s="4"/>
      <c r="L38" s="4"/>
      <c r="M38" s="4"/>
      <c r="N38" s="4"/>
    </row>
    <row r="39" spans="1:14" ht="15.6">
      <c r="A39" s="139" t="s">
        <v>218</v>
      </c>
      <c r="B39" s="139" t="s">
        <v>219</v>
      </c>
      <c r="C39" s="140">
        <v>1.34</v>
      </c>
      <c r="D39" s="139" t="s">
        <v>220</v>
      </c>
      <c r="E39" s="141">
        <v>520</v>
      </c>
      <c r="F39" s="4" t="s">
        <v>77</v>
      </c>
      <c r="G39" s="4" t="s">
        <v>114</v>
      </c>
      <c r="H39" s="4"/>
      <c r="I39" s="137"/>
      <c r="J39" s="137"/>
      <c r="K39" s="4"/>
      <c r="L39" s="4"/>
      <c r="M39" s="4"/>
      <c r="N39" s="4"/>
    </row>
    <row r="40" spans="1:14" ht="15.6">
      <c r="A40" s="139" t="s">
        <v>221</v>
      </c>
      <c r="B40" s="139" t="s">
        <v>222</v>
      </c>
      <c r="C40" s="140">
        <v>0.92</v>
      </c>
      <c r="D40" s="139" t="s">
        <v>223</v>
      </c>
      <c r="E40" s="141">
        <v>305</v>
      </c>
      <c r="F40" s="4" t="s">
        <v>77</v>
      </c>
      <c r="G40" s="4" t="s">
        <v>114</v>
      </c>
      <c r="H40" s="4"/>
      <c r="I40" s="137"/>
      <c r="J40" s="137"/>
      <c r="K40" s="4"/>
      <c r="L40" s="4"/>
      <c r="M40" s="4"/>
      <c r="N40" s="4"/>
    </row>
    <row r="41" spans="1:14" ht="15.6">
      <c r="A41" s="139" t="s">
        <v>224</v>
      </c>
      <c r="B41" s="139" t="s">
        <v>225</v>
      </c>
      <c r="C41" s="140">
        <v>0.91</v>
      </c>
      <c r="D41" s="139" t="s">
        <v>226</v>
      </c>
      <c r="E41" s="141">
        <v>290</v>
      </c>
      <c r="F41" s="4" t="s">
        <v>77</v>
      </c>
      <c r="G41" s="4" t="s">
        <v>114</v>
      </c>
      <c r="H41" s="4"/>
      <c r="I41" s="137"/>
      <c r="J41" s="137"/>
      <c r="K41" s="4"/>
      <c r="L41" s="4"/>
      <c r="M41" s="4"/>
      <c r="N41" s="4"/>
    </row>
    <row r="42" spans="1:14" ht="15.6">
      <c r="A42" s="139" t="s">
        <v>227</v>
      </c>
      <c r="B42" s="139" t="s">
        <v>228</v>
      </c>
      <c r="C42" s="140">
        <v>1.21</v>
      </c>
      <c r="D42" s="139" t="s">
        <v>229</v>
      </c>
      <c r="E42" s="141">
        <v>490</v>
      </c>
      <c r="F42" s="4" t="s">
        <v>77</v>
      </c>
      <c r="G42" s="4" t="s">
        <v>114</v>
      </c>
      <c r="H42" s="4"/>
      <c r="I42" s="137"/>
      <c r="J42" s="137"/>
      <c r="K42" s="4"/>
      <c r="L42" s="4"/>
      <c r="M42" s="4"/>
      <c r="N42" s="4"/>
    </row>
    <row r="43" spans="1:14" ht="15.6">
      <c r="A43" s="139" t="s">
        <v>230</v>
      </c>
      <c r="B43" s="139" t="s">
        <v>231</v>
      </c>
      <c r="C43" s="140">
        <v>0.84</v>
      </c>
      <c r="D43" s="139" t="s">
        <v>226</v>
      </c>
      <c r="E43" s="141">
        <v>295</v>
      </c>
      <c r="F43" s="4" t="s">
        <v>77</v>
      </c>
      <c r="G43" s="4" t="s">
        <v>121</v>
      </c>
      <c r="H43" s="4"/>
      <c r="I43" s="137"/>
      <c r="J43" s="137"/>
      <c r="K43" s="4"/>
      <c r="L43" s="4"/>
      <c r="M43" s="4"/>
      <c r="N43" s="4"/>
    </row>
    <row r="44" spans="1:14" ht="15.6">
      <c r="A44" s="139" t="s">
        <v>232</v>
      </c>
      <c r="B44" s="139" t="s">
        <v>233</v>
      </c>
      <c r="C44" s="140">
        <v>0.85</v>
      </c>
      <c r="D44" s="139" t="s">
        <v>223</v>
      </c>
      <c r="E44" s="141">
        <v>305</v>
      </c>
      <c r="F44" s="4" t="s">
        <v>77</v>
      </c>
      <c r="G44" s="4" t="s">
        <v>121</v>
      </c>
      <c r="H44" s="4"/>
      <c r="I44" s="137"/>
      <c r="J44" s="137"/>
      <c r="K44" s="4"/>
      <c r="L44" s="4"/>
      <c r="M44" s="4"/>
      <c r="N44" s="4"/>
    </row>
    <row r="45" spans="1:14" ht="15.6">
      <c r="A45" s="139" t="s">
        <v>234</v>
      </c>
      <c r="B45" s="139" t="s">
        <v>235</v>
      </c>
      <c r="C45" s="140">
        <v>0.87</v>
      </c>
      <c r="D45" s="139" t="s">
        <v>236</v>
      </c>
      <c r="E45" s="141">
        <v>315</v>
      </c>
      <c r="F45" s="4" t="s">
        <v>77</v>
      </c>
      <c r="G45" s="4" t="s">
        <v>121</v>
      </c>
      <c r="H45" s="4"/>
      <c r="I45" s="137"/>
      <c r="J45" s="4"/>
      <c r="K45" s="4"/>
      <c r="L45" s="4"/>
      <c r="M45" s="4"/>
      <c r="N45" s="4"/>
    </row>
    <row r="46" spans="1:14" ht="15.6">
      <c r="A46" s="139" t="s">
        <v>237</v>
      </c>
      <c r="B46" s="139" t="s">
        <v>238</v>
      </c>
      <c r="C46" s="140">
        <v>0.87</v>
      </c>
      <c r="D46" s="139" t="s">
        <v>239</v>
      </c>
      <c r="E46" s="141">
        <v>315</v>
      </c>
      <c r="F46" s="4" t="s">
        <v>77</v>
      </c>
      <c r="G46" s="4" t="s">
        <v>121</v>
      </c>
      <c r="H46" s="4"/>
      <c r="I46" s="137"/>
      <c r="J46" s="4"/>
      <c r="K46" s="4"/>
      <c r="L46" s="4"/>
      <c r="M46" s="4"/>
      <c r="N46" s="4"/>
    </row>
    <row r="47" spans="1:14" ht="15.6">
      <c r="A47" s="139" t="s">
        <v>240</v>
      </c>
      <c r="B47" s="139" t="s">
        <v>241</v>
      </c>
      <c r="C47" s="140">
        <v>0.91</v>
      </c>
      <c r="D47" s="139" t="s">
        <v>242</v>
      </c>
      <c r="E47" s="141">
        <v>340</v>
      </c>
      <c r="F47" s="4" t="s">
        <v>77</v>
      </c>
      <c r="G47" s="4" t="s">
        <v>121</v>
      </c>
      <c r="H47" s="4"/>
      <c r="I47" s="137"/>
      <c r="J47" s="4"/>
      <c r="K47" s="4"/>
      <c r="L47" s="4"/>
      <c r="M47" s="4"/>
      <c r="N47" s="4"/>
    </row>
    <row r="48" spans="1:14" ht="15.6">
      <c r="A48" s="139" t="s">
        <v>243</v>
      </c>
      <c r="B48" s="139" t="s">
        <v>244</v>
      </c>
      <c r="C48" s="140">
        <v>0.93</v>
      </c>
      <c r="D48" s="139" t="s">
        <v>245</v>
      </c>
      <c r="E48" s="141">
        <v>345</v>
      </c>
      <c r="F48" s="4" t="s">
        <v>77</v>
      </c>
      <c r="G48" s="4" t="s">
        <v>121</v>
      </c>
      <c r="H48" s="4"/>
      <c r="I48" s="137"/>
      <c r="J48" s="4"/>
      <c r="K48" s="4"/>
      <c r="L48" s="4"/>
      <c r="M48" s="4"/>
      <c r="N48" s="4"/>
    </row>
    <row r="49" spans="1:14" ht="15.6">
      <c r="A49" s="139" t="s">
        <v>246</v>
      </c>
      <c r="B49" s="139" t="s">
        <v>247</v>
      </c>
      <c r="C49" s="140">
        <v>0.95</v>
      </c>
      <c r="D49" s="139" t="s">
        <v>248</v>
      </c>
      <c r="E49" s="141">
        <v>360</v>
      </c>
      <c r="F49" s="4" t="s">
        <v>77</v>
      </c>
      <c r="G49" s="4" t="s">
        <v>121</v>
      </c>
      <c r="H49" s="4"/>
      <c r="I49" s="137"/>
      <c r="J49" s="4"/>
      <c r="K49" s="4"/>
      <c r="L49" s="4"/>
      <c r="M49" s="4"/>
      <c r="N49" s="4"/>
    </row>
    <row r="50" spans="1:14" ht="15.6">
      <c r="A50" s="139" t="s">
        <v>249</v>
      </c>
      <c r="B50" s="139" t="s">
        <v>250</v>
      </c>
      <c r="C50" s="140">
        <v>0.99</v>
      </c>
      <c r="D50" s="139" t="s">
        <v>251</v>
      </c>
      <c r="E50" s="141">
        <v>380</v>
      </c>
      <c r="F50" s="4" t="s">
        <v>77</v>
      </c>
      <c r="G50" s="4" t="s">
        <v>121</v>
      </c>
      <c r="H50" s="4"/>
      <c r="I50" s="137"/>
      <c r="J50" s="4"/>
      <c r="K50" s="4"/>
      <c r="L50" s="4"/>
      <c r="M50" s="4"/>
      <c r="N50" s="4"/>
    </row>
    <row r="51" spans="1:14" ht="15.6">
      <c r="A51" s="139" t="s">
        <v>252</v>
      </c>
      <c r="B51" s="139" t="s">
        <v>253</v>
      </c>
      <c r="C51" s="140">
        <v>1.02</v>
      </c>
      <c r="D51" s="139" t="s">
        <v>254</v>
      </c>
      <c r="E51" s="141">
        <v>395</v>
      </c>
      <c r="F51" s="4" t="s">
        <v>77</v>
      </c>
      <c r="G51" s="4" t="s">
        <v>121</v>
      </c>
      <c r="H51" s="4"/>
      <c r="I51" s="137"/>
      <c r="J51" s="137"/>
      <c r="K51" s="4"/>
      <c r="L51" s="4"/>
      <c r="M51" s="4"/>
      <c r="N51" s="4"/>
    </row>
    <row r="52" spans="1:14" ht="15.6">
      <c r="A52" s="139" t="s">
        <v>255</v>
      </c>
      <c r="B52" s="139" t="s">
        <v>256</v>
      </c>
      <c r="C52" s="140">
        <v>1.05</v>
      </c>
      <c r="D52" s="139" t="s">
        <v>257</v>
      </c>
      <c r="E52" s="141">
        <v>410</v>
      </c>
      <c r="F52" s="4" t="s">
        <v>77</v>
      </c>
      <c r="G52" s="4" t="s">
        <v>121</v>
      </c>
      <c r="H52" s="4"/>
      <c r="I52" s="137"/>
      <c r="J52" s="137"/>
      <c r="K52" s="4"/>
      <c r="L52" s="4"/>
      <c r="M52" s="4"/>
      <c r="N52" s="4"/>
    </row>
    <row r="53" spans="1:14" ht="15.6">
      <c r="A53" s="139" t="s">
        <v>258</v>
      </c>
      <c r="B53" s="139" t="s">
        <v>259</v>
      </c>
      <c r="C53" s="140">
        <v>1.08</v>
      </c>
      <c r="D53" s="139" t="s">
        <v>260</v>
      </c>
      <c r="E53" s="141">
        <v>420</v>
      </c>
      <c r="F53" s="4" t="s">
        <v>77</v>
      </c>
      <c r="G53" s="4" t="s">
        <v>121</v>
      </c>
      <c r="H53" s="4"/>
      <c r="I53" s="137"/>
      <c r="J53" s="137"/>
      <c r="K53" s="4"/>
      <c r="L53" s="4"/>
      <c r="M53" s="4"/>
      <c r="N53" s="4"/>
    </row>
    <row r="54" spans="1:14" ht="15.6">
      <c r="A54" s="139" t="s">
        <v>261</v>
      </c>
      <c r="B54" s="139" t="s">
        <v>262</v>
      </c>
      <c r="C54" s="140">
        <v>1.1200000000000001</v>
      </c>
      <c r="D54" s="139" t="s">
        <v>263</v>
      </c>
      <c r="E54" s="141">
        <v>440</v>
      </c>
      <c r="F54" s="4" t="s">
        <v>77</v>
      </c>
      <c r="G54" s="4" t="s">
        <v>121</v>
      </c>
      <c r="H54" s="4"/>
      <c r="I54" s="137"/>
      <c r="J54" s="137"/>
      <c r="K54" s="4"/>
      <c r="L54" s="4"/>
      <c r="M54" s="4"/>
      <c r="N54" s="4"/>
    </row>
    <row r="55" spans="1:14" ht="15.6">
      <c r="A55" s="139" t="s">
        <v>264</v>
      </c>
      <c r="B55" s="139" t="s">
        <v>265</v>
      </c>
      <c r="C55" s="140">
        <v>1.1499999999999999</v>
      </c>
      <c r="D55" s="139" t="s">
        <v>214</v>
      </c>
      <c r="E55" s="141">
        <v>455</v>
      </c>
      <c r="F55" s="4" t="s">
        <v>77</v>
      </c>
      <c r="G55" s="4" t="s">
        <v>121</v>
      </c>
      <c r="H55" s="4"/>
      <c r="I55" s="137"/>
      <c r="J55" s="137"/>
      <c r="K55" s="4"/>
      <c r="L55" s="4"/>
      <c r="M55" s="4"/>
      <c r="N55" s="4"/>
    </row>
    <row r="56" spans="1:14" ht="15.6">
      <c r="A56" s="139" t="s">
        <v>266</v>
      </c>
      <c r="B56" s="139" t="s">
        <v>267</v>
      </c>
      <c r="C56" s="140">
        <v>1.18</v>
      </c>
      <c r="D56" s="139" t="s">
        <v>268</v>
      </c>
      <c r="E56" s="141">
        <v>470</v>
      </c>
      <c r="F56" s="4" t="s">
        <v>77</v>
      </c>
      <c r="G56" s="4" t="s">
        <v>121</v>
      </c>
      <c r="H56" s="4"/>
      <c r="I56" s="137"/>
      <c r="J56" s="137"/>
      <c r="K56" s="4"/>
      <c r="L56" s="4"/>
      <c r="M56" s="4"/>
      <c r="N56" s="4"/>
    </row>
    <row r="57" spans="1:14" ht="15.6">
      <c r="A57" s="139" t="s">
        <v>269</v>
      </c>
      <c r="B57" s="139" t="s">
        <v>270</v>
      </c>
      <c r="C57" s="140">
        <v>1.26</v>
      </c>
      <c r="D57" s="139" t="s">
        <v>271</v>
      </c>
      <c r="E57" s="144" t="s">
        <v>272</v>
      </c>
      <c r="F57" s="4" t="s">
        <v>77</v>
      </c>
      <c r="G57" s="4" t="s">
        <v>121</v>
      </c>
      <c r="H57" s="4"/>
      <c r="I57" s="137"/>
      <c r="J57" s="137"/>
      <c r="K57" s="4"/>
      <c r="L57" s="4"/>
      <c r="M57" s="4"/>
      <c r="N57" s="4"/>
    </row>
    <row r="58" spans="1:14" ht="15.6">
      <c r="A58" s="139" t="s">
        <v>273</v>
      </c>
      <c r="B58" s="139" t="s">
        <v>274</v>
      </c>
      <c r="C58" s="140">
        <v>1.26</v>
      </c>
      <c r="D58" s="139" t="s">
        <v>275</v>
      </c>
      <c r="E58" s="141">
        <v>525</v>
      </c>
      <c r="F58" s="4" t="s">
        <v>77</v>
      </c>
      <c r="G58" s="4" t="s">
        <v>121</v>
      </c>
      <c r="H58" s="4"/>
      <c r="I58" s="137"/>
      <c r="J58" s="137"/>
      <c r="K58" s="4"/>
      <c r="L58" s="4"/>
      <c r="M58" s="4"/>
      <c r="N58" s="4"/>
    </row>
    <row r="59" spans="1:14" ht="15.6">
      <c r="A59" s="139" t="s">
        <v>276</v>
      </c>
      <c r="B59" s="139" t="s">
        <v>277</v>
      </c>
      <c r="C59" s="140">
        <v>1.22</v>
      </c>
      <c r="D59" s="139" t="s">
        <v>223</v>
      </c>
      <c r="E59" s="141">
        <v>310</v>
      </c>
      <c r="F59" s="4" t="s">
        <v>77</v>
      </c>
      <c r="G59" s="4" t="s">
        <v>278</v>
      </c>
      <c r="H59" s="4"/>
      <c r="I59" s="137"/>
      <c r="J59" s="137"/>
      <c r="K59" s="4"/>
      <c r="L59" s="4"/>
      <c r="M59" s="4"/>
      <c r="N59" s="4"/>
    </row>
    <row r="60" spans="1:14" ht="15.6">
      <c r="A60" s="139" t="s">
        <v>279</v>
      </c>
      <c r="B60" s="139" t="s">
        <v>280</v>
      </c>
      <c r="C60" s="140">
        <v>1.32</v>
      </c>
      <c r="D60" s="139" t="s">
        <v>242</v>
      </c>
      <c r="E60" s="141">
        <v>350</v>
      </c>
      <c r="F60" s="4" t="s">
        <v>77</v>
      </c>
      <c r="G60" s="4" t="s">
        <v>278</v>
      </c>
      <c r="H60" s="4"/>
      <c r="I60" s="137"/>
      <c r="J60" s="137"/>
      <c r="K60" s="4"/>
      <c r="L60" s="4"/>
      <c r="M60" s="4"/>
      <c r="N60" s="4"/>
    </row>
    <row r="61" spans="1:14" ht="15.6">
      <c r="A61" s="139" t="s">
        <v>281</v>
      </c>
      <c r="B61" s="139" t="s">
        <v>282</v>
      </c>
      <c r="C61" s="140">
        <v>1.45</v>
      </c>
      <c r="D61" s="139" t="s">
        <v>251</v>
      </c>
      <c r="E61" s="141">
        <v>390</v>
      </c>
      <c r="F61" s="4" t="s">
        <v>77</v>
      </c>
      <c r="G61" s="4" t="s">
        <v>278</v>
      </c>
      <c r="H61" s="4"/>
      <c r="I61" s="137"/>
      <c r="J61" s="137"/>
      <c r="K61" s="4"/>
      <c r="L61" s="4"/>
      <c r="M61" s="4"/>
      <c r="N61" s="4"/>
    </row>
    <row r="62" spans="1:14" ht="15.6">
      <c r="A62" s="139" t="s">
        <v>283</v>
      </c>
      <c r="B62" s="139" t="s">
        <v>284</v>
      </c>
      <c r="C62" s="140">
        <v>1.55</v>
      </c>
      <c r="D62" s="139" t="s">
        <v>285</v>
      </c>
      <c r="E62" s="141">
        <v>425</v>
      </c>
      <c r="F62" s="4" t="s">
        <v>77</v>
      </c>
      <c r="G62" s="4" t="s">
        <v>278</v>
      </c>
      <c r="H62" s="4"/>
      <c r="I62" s="137"/>
      <c r="J62" s="137"/>
      <c r="K62" s="4"/>
      <c r="L62" s="4"/>
      <c r="M62" s="4"/>
      <c r="N62" s="4"/>
    </row>
    <row r="63" spans="1:14" ht="15.6">
      <c r="A63" s="139" t="s">
        <v>286</v>
      </c>
      <c r="B63" s="139" t="s">
        <v>287</v>
      </c>
      <c r="C63" s="140">
        <v>1.71</v>
      </c>
      <c r="D63" s="139" t="s">
        <v>288</v>
      </c>
      <c r="E63" s="141">
        <v>460</v>
      </c>
      <c r="F63" s="4" t="s">
        <v>77</v>
      </c>
      <c r="G63" s="4" t="s">
        <v>278</v>
      </c>
      <c r="H63" s="4"/>
      <c r="I63" s="137"/>
      <c r="J63" s="137"/>
      <c r="K63" s="4"/>
      <c r="L63" s="4"/>
      <c r="M63" s="4"/>
      <c r="N63" s="4"/>
    </row>
    <row r="64" spans="1:14" ht="15.6">
      <c r="A64" s="139" t="s">
        <v>289</v>
      </c>
      <c r="B64" s="139" t="s">
        <v>290</v>
      </c>
      <c r="C64" s="140">
        <v>1.86</v>
      </c>
      <c r="D64" s="139" t="s">
        <v>291</v>
      </c>
      <c r="E64" s="141">
        <v>510</v>
      </c>
      <c r="F64" s="4" t="s">
        <v>77</v>
      </c>
      <c r="G64" s="4" t="s">
        <v>278</v>
      </c>
      <c r="H64" s="4"/>
      <c r="I64" s="137"/>
      <c r="J64" s="137"/>
      <c r="K64" s="4"/>
      <c r="L64" s="4"/>
      <c r="M64" s="4"/>
      <c r="N64" s="4"/>
    </row>
    <row r="65" spans="1:14" ht="15.6">
      <c r="A65" s="139" t="s">
        <v>292</v>
      </c>
      <c r="B65" s="139" t="s">
        <v>293</v>
      </c>
      <c r="C65" s="140">
        <v>1.77</v>
      </c>
      <c r="D65" s="139" t="s">
        <v>294</v>
      </c>
      <c r="E65" s="141">
        <v>480</v>
      </c>
      <c r="F65" s="4" t="s">
        <v>77</v>
      </c>
      <c r="G65" s="4" t="s">
        <v>278</v>
      </c>
      <c r="H65" s="4"/>
      <c r="I65" s="137"/>
      <c r="J65" s="137"/>
      <c r="K65" s="4"/>
      <c r="L65" s="4"/>
      <c r="M65" s="4"/>
      <c r="N65" s="4"/>
    </row>
    <row r="66" spans="1:14" ht="15.6">
      <c r="A66" s="139" t="s">
        <v>295</v>
      </c>
      <c r="B66" s="139" t="s">
        <v>296</v>
      </c>
      <c r="C66" s="140">
        <v>0.92</v>
      </c>
      <c r="D66" s="139" t="s">
        <v>242</v>
      </c>
      <c r="E66" s="141">
        <v>341</v>
      </c>
      <c r="F66" s="4" t="s">
        <v>77</v>
      </c>
      <c r="G66" s="4" t="s">
        <v>107</v>
      </c>
      <c r="H66" s="4"/>
      <c r="I66" s="137"/>
      <c r="J66" s="137"/>
      <c r="K66" s="4"/>
      <c r="L66" s="4"/>
      <c r="M66" s="4"/>
      <c r="N66" s="4"/>
    </row>
    <row r="67" spans="1:14" ht="15.6">
      <c r="A67" s="139" t="s">
        <v>297</v>
      </c>
      <c r="B67" s="139" t="s">
        <v>296</v>
      </c>
      <c r="C67" s="140">
        <v>1</v>
      </c>
      <c r="D67" s="139" t="s">
        <v>251</v>
      </c>
      <c r="E67" s="141">
        <v>381</v>
      </c>
      <c r="F67" s="4" t="s">
        <v>77</v>
      </c>
      <c r="G67" s="4" t="s">
        <v>107</v>
      </c>
      <c r="H67" s="4"/>
      <c r="I67" s="137"/>
      <c r="J67" s="137"/>
      <c r="K67" s="4"/>
      <c r="L67" s="4"/>
      <c r="M67" s="4"/>
      <c r="N67" s="4"/>
    </row>
    <row r="68" spans="1:14" ht="15.6">
      <c r="A68" s="139" t="s">
        <v>298</v>
      </c>
      <c r="B68" s="139" t="s">
        <v>296</v>
      </c>
      <c r="C68" s="140">
        <v>1.06</v>
      </c>
      <c r="D68" s="139" t="s">
        <v>257</v>
      </c>
      <c r="E68" s="141">
        <v>411</v>
      </c>
      <c r="F68" s="4" t="s">
        <v>77</v>
      </c>
      <c r="G68" s="4" t="s">
        <v>107</v>
      </c>
      <c r="H68" s="4"/>
      <c r="I68" s="137"/>
      <c r="J68" s="137"/>
      <c r="K68" s="4"/>
      <c r="L68" s="4"/>
      <c r="M68" s="4"/>
      <c r="N68" s="4"/>
    </row>
    <row r="69" spans="1:14" ht="15.6">
      <c r="A69" s="139" t="s">
        <v>299</v>
      </c>
      <c r="B69" s="139" t="s">
        <v>296</v>
      </c>
      <c r="C69" s="140">
        <v>1.1200000000000001</v>
      </c>
      <c r="D69" s="139" t="s">
        <v>300</v>
      </c>
      <c r="E69" s="141">
        <v>438</v>
      </c>
      <c r="F69" s="4" t="s">
        <v>77</v>
      </c>
      <c r="G69" s="4" t="s">
        <v>107</v>
      </c>
      <c r="H69" s="4"/>
      <c r="I69" s="137"/>
      <c r="J69" s="137"/>
      <c r="K69" s="4"/>
      <c r="L69" s="4"/>
      <c r="M69" s="4"/>
      <c r="N69" s="4"/>
    </row>
    <row r="70" spans="1:14" ht="15.6">
      <c r="A70" s="139" t="s">
        <v>301</v>
      </c>
      <c r="B70" s="139" t="s">
        <v>296</v>
      </c>
      <c r="C70" s="140">
        <v>1.19</v>
      </c>
      <c r="D70" s="139" t="s">
        <v>268</v>
      </c>
      <c r="E70" s="141">
        <v>473</v>
      </c>
      <c r="F70" s="4" t="s">
        <v>77</v>
      </c>
      <c r="G70" s="4" t="s">
        <v>107</v>
      </c>
      <c r="H70" s="4"/>
      <c r="I70" s="137"/>
      <c r="J70" s="137"/>
      <c r="K70" s="4"/>
      <c r="L70" s="4"/>
      <c r="M70" s="4"/>
      <c r="N70" s="4"/>
    </row>
    <row r="71" spans="1:14" ht="15.6">
      <c r="A71" s="139" t="s">
        <v>302</v>
      </c>
      <c r="B71" s="139" t="s">
        <v>296</v>
      </c>
      <c r="C71" s="140">
        <v>1.23</v>
      </c>
      <c r="D71" s="139" t="s">
        <v>229</v>
      </c>
      <c r="E71" s="141">
        <v>493</v>
      </c>
      <c r="F71" s="4" t="s">
        <v>77</v>
      </c>
      <c r="G71" s="4" t="s">
        <v>107</v>
      </c>
      <c r="H71" s="4"/>
      <c r="I71" s="137"/>
      <c r="J71" s="137"/>
      <c r="K71" s="4"/>
      <c r="L71" s="4"/>
      <c r="M71" s="4"/>
      <c r="N71" s="4"/>
    </row>
    <row r="72" spans="1:14" ht="15.6">
      <c r="A72" s="139" t="s">
        <v>303</v>
      </c>
      <c r="B72" s="139" t="s">
        <v>304</v>
      </c>
      <c r="C72" s="140">
        <v>0.91</v>
      </c>
      <c r="D72" s="139" t="s">
        <v>305</v>
      </c>
      <c r="E72" s="141">
        <v>305</v>
      </c>
      <c r="F72" s="4" t="s">
        <v>77</v>
      </c>
      <c r="G72" s="4" t="s">
        <v>114</v>
      </c>
      <c r="H72" s="4"/>
      <c r="I72" s="137"/>
      <c r="J72" s="137"/>
      <c r="K72" s="4"/>
      <c r="L72" s="4"/>
      <c r="M72" s="4"/>
      <c r="N72" s="4"/>
    </row>
    <row r="73" spans="1:14" ht="15.6">
      <c r="A73" s="139" t="s">
        <v>306</v>
      </c>
      <c r="B73" s="139" t="s">
        <v>307</v>
      </c>
      <c r="C73" s="140">
        <v>0.9</v>
      </c>
      <c r="D73" s="139" t="s">
        <v>308</v>
      </c>
      <c r="E73" s="141">
        <v>290</v>
      </c>
      <c r="F73" s="4" t="s">
        <v>77</v>
      </c>
      <c r="G73" s="4" t="s">
        <v>114</v>
      </c>
      <c r="H73" s="4"/>
      <c r="I73" s="137"/>
      <c r="J73" s="137"/>
      <c r="K73" s="4"/>
      <c r="L73" s="4"/>
      <c r="M73" s="4"/>
      <c r="N73" s="4"/>
    </row>
    <row r="74" spans="1:14" ht="15.6">
      <c r="A74" s="139" t="s">
        <v>309</v>
      </c>
      <c r="B74" s="139" t="s">
        <v>310</v>
      </c>
      <c r="C74" s="140">
        <v>0.85</v>
      </c>
      <c r="D74" s="139" t="s">
        <v>311</v>
      </c>
      <c r="E74" s="141">
        <v>276</v>
      </c>
      <c r="F74" s="4" t="s">
        <v>77</v>
      </c>
      <c r="G74" s="4" t="s">
        <v>152</v>
      </c>
      <c r="H74" s="4"/>
      <c r="I74" s="137"/>
      <c r="J74" s="137"/>
      <c r="K74" s="4"/>
      <c r="L74" s="4"/>
      <c r="M74" s="4"/>
      <c r="N74" s="4"/>
    </row>
    <row r="75" spans="1:14" ht="15.6">
      <c r="A75" s="139" t="s">
        <v>312</v>
      </c>
      <c r="B75" s="139" t="s">
        <v>313</v>
      </c>
      <c r="C75" s="140">
        <v>0.84</v>
      </c>
      <c r="D75" s="139" t="s">
        <v>314</v>
      </c>
      <c r="E75" s="141">
        <v>270</v>
      </c>
      <c r="F75" s="4" t="s">
        <v>77</v>
      </c>
      <c r="G75" s="4" t="s">
        <v>114</v>
      </c>
      <c r="H75" s="4"/>
      <c r="I75" s="137"/>
      <c r="J75" s="137"/>
      <c r="K75" s="4"/>
      <c r="L75" s="4"/>
      <c r="M75" s="4"/>
      <c r="N75" s="4"/>
    </row>
    <row r="76" spans="1:14" ht="15.6">
      <c r="A76" s="139" t="s">
        <v>315</v>
      </c>
      <c r="B76" s="139" t="s">
        <v>316</v>
      </c>
      <c r="C76" s="140">
        <v>0.8</v>
      </c>
      <c r="D76" s="139" t="s">
        <v>317</v>
      </c>
      <c r="E76" s="141">
        <v>240</v>
      </c>
      <c r="F76" s="4" t="s">
        <v>77</v>
      </c>
      <c r="G76" s="4" t="s">
        <v>114</v>
      </c>
      <c r="H76" s="4"/>
      <c r="I76" s="137"/>
      <c r="J76" s="137"/>
      <c r="K76" s="4"/>
      <c r="L76" s="4"/>
      <c r="M76" s="4"/>
      <c r="N76" s="4"/>
    </row>
    <row r="77" spans="1:14" ht="15.6">
      <c r="A77" s="139" t="s">
        <v>318</v>
      </c>
      <c r="B77" s="139" t="s">
        <v>319</v>
      </c>
      <c r="C77" s="140">
        <v>0.81</v>
      </c>
      <c r="D77" s="139" t="s">
        <v>314</v>
      </c>
      <c r="E77" s="141">
        <v>275</v>
      </c>
      <c r="F77" s="4" t="s">
        <v>77</v>
      </c>
      <c r="G77" s="4" t="s">
        <v>121</v>
      </c>
      <c r="H77" s="4"/>
      <c r="I77" s="137"/>
      <c r="J77" s="137"/>
      <c r="K77" s="4"/>
      <c r="L77" s="4"/>
      <c r="M77" s="4"/>
      <c r="N77" s="4"/>
    </row>
    <row r="78" spans="1:14" ht="15.6">
      <c r="A78" s="139" t="s">
        <v>320</v>
      </c>
      <c r="B78" s="139" t="s">
        <v>321</v>
      </c>
      <c r="C78" s="140">
        <v>1.1399999999999999</v>
      </c>
      <c r="D78" s="139" t="s">
        <v>314</v>
      </c>
      <c r="E78" s="141">
        <v>280</v>
      </c>
      <c r="F78" s="4" t="s">
        <v>77</v>
      </c>
      <c r="G78" s="4" t="s">
        <v>278</v>
      </c>
      <c r="H78" s="4"/>
      <c r="I78" s="137"/>
      <c r="J78" s="4"/>
      <c r="K78" s="4"/>
      <c r="L78" s="4"/>
      <c r="M78" s="4"/>
      <c r="N78" s="4"/>
    </row>
    <row r="79" spans="1:14" ht="15.6">
      <c r="A79" s="139" t="s">
        <v>322</v>
      </c>
      <c r="B79" s="139" t="s">
        <v>323</v>
      </c>
      <c r="C79" s="140">
        <v>1.04</v>
      </c>
      <c r="D79" s="139" t="s">
        <v>324</v>
      </c>
      <c r="E79" s="141">
        <v>245</v>
      </c>
      <c r="F79" s="4" t="s">
        <v>77</v>
      </c>
      <c r="G79" s="4" t="s">
        <v>121</v>
      </c>
      <c r="H79" s="4"/>
      <c r="I79" s="137"/>
      <c r="J79" s="4"/>
      <c r="K79" s="4"/>
      <c r="L79" s="4"/>
      <c r="M79" s="4"/>
      <c r="N79" s="4"/>
    </row>
    <row r="80" spans="1:14" ht="15.6">
      <c r="A80" s="139" t="s">
        <v>325</v>
      </c>
      <c r="B80" s="139" t="s">
        <v>326</v>
      </c>
      <c r="C80" s="140">
        <v>1.62</v>
      </c>
      <c r="D80" s="139" t="s">
        <v>327</v>
      </c>
      <c r="E80" s="141">
        <v>380</v>
      </c>
      <c r="F80" s="4" t="s">
        <v>77</v>
      </c>
      <c r="G80" s="4" t="s">
        <v>121</v>
      </c>
      <c r="H80" s="4"/>
      <c r="I80" s="137"/>
      <c r="J80" s="4"/>
      <c r="K80" s="4"/>
      <c r="L80" s="4"/>
      <c r="M80" s="4"/>
      <c r="N80" s="4"/>
    </row>
    <row r="81" spans="1:14" ht="15.6">
      <c r="A81" s="139" t="s">
        <v>328</v>
      </c>
      <c r="B81" s="139" t="s">
        <v>329</v>
      </c>
      <c r="C81" s="140">
        <v>1.94</v>
      </c>
      <c r="D81" s="139" t="s">
        <v>330</v>
      </c>
      <c r="E81" s="141">
        <v>490</v>
      </c>
      <c r="F81" s="4" t="s">
        <v>77</v>
      </c>
      <c r="G81" s="4" t="s">
        <v>121</v>
      </c>
      <c r="H81" s="4"/>
      <c r="I81" s="137"/>
      <c r="J81" s="137"/>
      <c r="K81" s="4"/>
      <c r="L81" s="4"/>
      <c r="M81" s="4"/>
      <c r="N81" s="4"/>
    </row>
    <row r="82" spans="1:14" ht="15.6">
      <c r="A82" s="139" t="s">
        <v>331</v>
      </c>
      <c r="B82" s="139" t="s">
        <v>332</v>
      </c>
      <c r="C82" s="140">
        <v>1.95</v>
      </c>
      <c r="D82" s="139" t="s">
        <v>333</v>
      </c>
      <c r="E82" s="141">
        <v>483</v>
      </c>
      <c r="F82" s="4" t="s">
        <v>77</v>
      </c>
      <c r="G82" s="4" t="s">
        <v>107</v>
      </c>
      <c r="H82" s="4"/>
      <c r="I82" s="137"/>
      <c r="J82" s="137"/>
      <c r="K82" s="4"/>
      <c r="L82" s="4"/>
      <c r="M82" s="4"/>
      <c r="N82" s="4"/>
    </row>
    <row r="83" spans="1:14" ht="15.6">
      <c r="A83" s="139" t="s">
        <v>334</v>
      </c>
      <c r="B83" s="139" t="s">
        <v>335</v>
      </c>
      <c r="C83" s="140">
        <v>1.1100000000000001</v>
      </c>
      <c r="D83" s="139" t="s">
        <v>336</v>
      </c>
      <c r="E83" s="141">
        <v>335</v>
      </c>
      <c r="F83" s="4" t="s">
        <v>77</v>
      </c>
      <c r="G83" s="4" t="s">
        <v>114</v>
      </c>
      <c r="H83" s="4"/>
      <c r="I83" s="137"/>
      <c r="J83" s="137"/>
      <c r="K83" s="4"/>
      <c r="L83" s="4"/>
      <c r="M83" s="4"/>
      <c r="N83" s="4"/>
    </row>
    <row r="84" spans="1:14" ht="15.6">
      <c r="A84" s="139" t="s">
        <v>337</v>
      </c>
      <c r="B84" s="139" t="s">
        <v>338</v>
      </c>
      <c r="C84" s="140">
        <v>1.1100000000000001</v>
      </c>
      <c r="D84" s="139" t="s">
        <v>339</v>
      </c>
      <c r="E84" s="141">
        <v>339</v>
      </c>
      <c r="F84" s="4" t="s">
        <v>77</v>
      </c>
      <c r="G84" s="4" t="s">
        <v>152</v>
      </c>
      <c r="H84" s="4"/>
      <c r="I84" s="137"/>
      <c r="J84" s="137"/>
      <c r="K84" s="4"/>
      <c r="L84" s="4"/>
      <c r="M84" s="4"/>
      <c r="N84" s="4"/>
    </row>
    <row r="85" spans="1:14" ht="15.6">
      <c r="A85" s="139" t="s">
        <v>340</v>
      </c>
      <c r="B85" s="139" t="s">
        <v>341</v>
      </c>
      <c r="C85" s="140">
        <v>1.1399999999999999</v>
      </c>
      <c r="D85" s="139" t="s">
        <v>342</v>
      </c>
      <c r="E85" s="141">
        <v>362</v>
      </c>
      <c r="F85" s="4" t="s">
        <v>77</v>
      </c>
      <c r="G85" s="4" t="s">
        <v>152</v>
      </c>
      <c r="H85" s="4"/>
      <c r="I85" s="137"/>
      <c r="J85" s="137"/>
      <c r="K85" s="4"/>
      <c r="L85" s="4"/>
      <c r="M85" s="4"/>
      <c r="N85" s="4"/>
    </row>
    <row r="86" spans="1:14" ht="15.6">
      <c r="A86" s="139" t="s">
        <v>343</v>
      </c>
      <c r="B86" s="139" t="s">
        <v>344</v>
      </c>
      <c r="C86" s="140">
        <v>1.19</v>
      </c>
      <c r="D86" s="139" t="s">
        <v>345</v>
      </c>
      <c r="E86" s="141">
        <v>382</v>
      </c>
      <c r="F86" s="4" t="s">
        <v>77</v>
      </c>
      <c r="G86" s="4" t="s">
        <v>152</v>
      </c>
      <c r="H86" s="4"/>
      <c r="I86" s="137"/>
      <c r="J86" s="137"/>
      <c r="K86" s="4"/>
      <c r="L86" s="4"/>
      <c r="M86" s="4"/>
      <c r="N86" s="4"/>
    </row>
    <row r="87" spans="1:14" ht="15.6">
      <c r="A87" s="139" t="s">
        <v>346</v>
      </c>
      <c r="B87" s="139" t="s">
        <v>347</v>
      </c>
      <c r="C87" s="140">
        <v>1.24</v>
      </c>
      <c r="D87" s="139" t="s">
        <v>348</v>
      </c>
      <c r="E87" s="141">
        <v>408</v>
      </c>
      <c r="F87" s="4" t="s">
        <v>77</v>
      </c>
      <c r="G87" s="4" t="s">
        <v>152</v>
      </c>
      <c r="H87" s="4"/>
      <c r="I87" s="137"/>
      <c r="J87" s="137"/>
      <c r="K87" s="4"/>
      <c r="L87" s="4"/>
      <c r="M87" s="4"/>
      <c r="N87" s="4"/>
    </row>
    <row r="88" spans="1:14" ht="15.6">
      <c r="A88" s="139" t="s">
        <v>349</v>
      </c>
      <c r="B88" s="139" t="s">
        <v>350</v>
      </c>
      <c r="C88" s="140">
        <v>1.33</v>
      </c>
      <c r="D88" s="139" t="s">
        <v>351</v>
      </c>
      <c r="E88" s="141">
        <v>448</v>
      </c>
      <c r="F88" s="4" t="s">
        <v>77</v>
      </c>
      <c r="G88" s="4" t="s">
        <v>152</v>
      </c>
      <c r="H88" s="4"/>
      <c r="I88" s="137"/>
      <c r="J88" s="137"/>
      <c r="K88" s="4"/>
      <c r="L88" s="4"/>
      <c r="M88" s="4"/>
      <c r="N88" s="4"/>
    </row>
    <row r="89" spans="1:14" ht="15.6">
      <c r="A89" s="139" t="s">
        <v>352</v>
      </c>
      <c r="B89" s="139" t="s">
        <v>353</v>
      </c>
      <c r="C89" s="140">
        <v>1.4</v>
      </c>
      <c r="D89" s="139" t="s">
        <v>354</v>
      </c>
      <c r="E89" s="141">
        <v>474</v>
      </c>
      <c r="F89" s="4" t="s">
        <v>77</v>
      </c>
      <c r="G89" s="4" t="s">
        <v>152</v>
      </c>
      <c r="H89" s="4"/>
      <c r="I89" s="137"/>
      <c r="J89" s="137"/>
      <c r="K89" s="4"/>
      <c r="L89" s="4"/>
      <c r="M89" s="4"/>
      <c r="N89" s="4"/>
    </row>
    <row r="90" spans="1:14" ht="15.6">
      <c r="A90" s="139" t="s">
        <v>355</v>
      </c>
      <c r="B90" s="139" t="s">
        <v>356</v>
      </c>
      <c r="C90" s="140">
        <v>1.52</v>
      </c>
      <c r="D90" s="139" t="s">
        <v>357</v>
      </c>
      <c r="E90" s="141">
        <v>524</v>
      </c>
      <c r="F90" s="4" t="s">
        <v>77</v>
      </c>
      <c r="G90" s="4" t="s">
        <v>152</v>
      </c>
      <c r="H90" s="4"/>
      <c r="I90" s="137"/>
      <c r="J90" s="4"/>
      <c r="K90" s="4"/>
      <c r="L90" s="4"/>
      <c r="M90" s="4"/>
      <c r="N90" s="4"/>
    </row>
    <row r="91" spans="1:14" ht="15.6">
      <c r="A91" s="139" t="s">
        <v>358</v>
      </c>
      <c r="B91" s="139" t="s">
        <v>359</v>
      </c>
      <c r="C91" s="140">
        <v>1.1499999999999999</v>
      </c>
      <c r="D91" s="139" t="s">
        <v>360</v>
      </c>
      <c r="E91" s="141">
        <v>360</v>
      </c>
      <c r="F91" s="4" t="s">
        <v>77</v>
      </c>
      <c r="G91" s="4" t="s">
        <v>114</v>
      </c>
      <c r="H91" s="4"/>
      <c r="I91" s="137"/>
      <c r="J91" s="4"/>
      <c r="K91" s="4"/>
      <c r="L91" s="4"/>
      <c r="M91" s="4"/>
      <c r="N91" s="4"/>
    </row>
    <row r="92" spans="1:14" ht="15.6">
      <c r="A92" s="139" t="s">
        <v>361</v>
      </c>
      <c r="B92" s="139" t="s">
        <v>362</v>
      </c>
      <c r="C92" s="140">
        <v>1.22</v>
      </c>
      <c r="D92" s="139" t="s">
        <v>363</v>
      </c>
      <c r="E92" s="141">
        <v>395</v>
      </c>
      <c r="F92" s="4" t="s">
        <v>77</v>
      </c>
      <c r="G92" s="4" t="s">
        <v>114</v>
      </c>
      <c r="H92" s="4"/>
      <c r="I92" s="137"/>
      <c r="J92" s="137"/>
      <c r="K92" s="4"/>
      <c r="L92" s="4"/>
      <c r="M92" s="4"/>
      <c r="N92" s="4"/>
    </row>
    <row r="93" spans="1:14" ht="15.6">
      <c r="A93" s="139" t="s">
        <v>364</v>
      </c>
      <c r="B93" s="139" t="s">
        <v>365</v>
      </c>
      <c r="C93" s="140">
        <v>1.28</v>
      </c>
      <c r="D93" s="139" t="s">
        <v>366</v>
      </c>
      <c r="E93" s="141">
        <v>425</v>
      </c>
      <c r="F93" s="4" t="s">
        <v>77</v>
      </c>
      <c r="G93" s="4" t="s">
        <v>114</v>
      </c>
      <c r="H93" s="4"/>
      <c r="I93" s="137"/>
      <c r="J93" s="137"/>
      <c r="K93" s="4"/>
      <c r="L93" s="4"/>
      <c r="M93" s="4"/>
      <c r="N93" s="4"/>
    </row>
    <row r="94" spans="1:14" ht="15.6">
      <c r="A94" s="139" t="s">
        <v>367</v>
      </c>
      <c r="B94" s="139" t="s">
        <v>368</v>
      </c>
      <c r="C94" s="140">
        <v>1.32</v>
      </c>
      <c r="D94" s="139" t="s">
        <v>369</v>
      </c>
      <c r="E94" s="141">
        <v>450</v>
      </c>
      <c r="F94" s="4" t="s">
        <v>77</v>
      </c>
      <c r="G94" s="4" t="s">
        <v>114</v>
      </c>
      <c r="H94" s="4"/>
      <c r="I94" s="137"/>
      <c r="J94" s="4"/>
      <c r="K94" s="4"/>
      <c r="L94" s="4"/>
      <c r="M94" s="4"/>
      <c r="N94" s="4"/>
    </row>
    <row r="95" spans="1:14" ht="15.6">
      <c r="A95" s="139" t="s">
        <v>370</v>
      </c>
      <c r="B95" s="139" t="s">
        <v>371</v>
      </c>
      <c r="C95" s="140">
        <v>1.63</v>
      </c>
      <c r="D95" s="139" t="s">
        <v>372</v>
      </c>
      <c r="E95" s="141">
        <v>510</v>
      </c>
      <c r="F95" s="4" t="s">
        <v>77</v>
      </c>
      <c r="G95" s="4" t="s">
        <v>114</v>
      </c>
      <c r="H95" s="4"/>
      <c r="I95" s="137"/>
      <c r="J95" s="137"/>
      <c r="K95" s="4"/>
      <c r="L95" s="4"/>
      <c r="M95" s="4"/>
      <c r="N95" s="4"/>
    </row>
    <row r="96" spans="1:14" ht="15.6">
      <c r="A96" s="139" t="s">
        <v>373</v>
      </c>
      <c r="B96" s="139" t="s">
        <v>374</v>
      </c>
      <c r="C96" s="140">
        <v>1.1000000000000001</v>
      </c>
      <c r="D96" s="139" t="s">
        <v>375</v>
      </c>
      <c r="E96" s="141">
        <v>365</v>
      </c>
      <c r="F96" s="4" t="s">
        <v>77</v>
      </c>
      <c r="G96" s="4" t="s">
        <v>121</v>
      </c>
      <c r="H96" s="4"/>
      <c r="I96" s="137"/>
      <c r="J96" s="137"/>
      <c r="K96" s="4"/>
      <c r="L96" s="4"/>
      <c r="M96" s="4"/>
      <c r="N96" s="4"/>
    </row>
    <row r="97" spans="1:14" ht="15.6">
      <c r="A97" s="139" t="s">
        <v>376</v>
      </c>
      <c r="B97" s="139" t="s">
        <v>377</v>
      </c>
      <c r="C97" s="140">
        <v>1.2</v>
      </c>
      <c r="D97" s="139" t="s">
        <v>378</v>
      </c>
      <c r="E97" s="141">
        <v>410</v>
      </c>
      <c r="F97" s="4" t="s">
        <v>77</v>
      </c>
      <c r="G97" s="4" t="s">
        <v>121</v>
      </c>
      <c r="H97" s="4"/>
      <c r="I97" s="137"/>
      <c r="J97" s="4"/>
      <c r="K97" s="4"/>
      <c r="L97" s="4"/>
      <c r="M97" s="4"/>
      <c r="N97" s="4"/>
    </row>
    <row r="98" spans="1:14" ht="15.6">
      <c r="A98" s="139" t="s">
        <v>379</v>
      </c>
      <c r="B98" s="139" t="s">
        <v>380</v>
      </c>
      <c r="C98" s="140">
        <v>1.06</v>
      </c>
      <c r="D98" s="139" t="s">
        <v>381</v>
      </c>
      <c r="E98" s="141">
        <v>340</v>
      </c>
      <c r="F98" s="4" t="s">
        <v>77</v>
      </c>
      <c r="G98" s="4" t="s">
        <v>121</v>
      </c>
      <c r="H98" s="4"/>
      <c r="I98" s="137"/>
      <c r="J98" s="137"/>
      <c r="K98" s="4"/>
      <c r="L98" s="4"/>
      <c r="M98" s="4"/>
      <c r="N98" s="4"/>
    </row>
    <row r="99" spans="1:14" ht="15.6">
      <c r="A99" s="139" t="s">
        <v>382</v>
      </c>
      <c r="B99" s="139" t="s">
        <v>383</v>
      </c>
      <c r="C99" s="140">
        <v>1.1399999999999999</v>
      </c>
      <c r="D99" s="139" t="s">
        <v>384</v>
      </c>
      <c r="E99" s="141">
        <v>385</v>
      </c>
      <c r="F99" s="4" t="s">
        <v>77</v>
      </c>
      <c r="G99" s="4" t="s">
        <v>121</v>
      </c>
      <c r="H99" s="4"/>
      <c r="I99" s="137"/>
      <c r="J99" s="137"/>
      <c r="K99" s="4"/>
      <c r="L99" s="4"/>
      <c r="M99" s="4"/>
      <c r="N99" s="4"/>
    </row>
    <row r="100" spans="1:14" ht="15.6">
      <c r="A100" s="139" t="s">
        <v>385</v>
      </c>
      <c r="B100" s="139" t="s">
        <v>386</v>
      </c>
      <c r="C100" s="140">
        <v>1.27</v>
      </c>
      <c r="D100" s="139" t="s">
        <v>387</v>
      </c>
      <c r="E100" s="141">
        <v>440</v>
      </c>
      <c r="F100" s="4" t="s">
        <v>77</v>
      </c>
      <c r="G100" s="4" t="s">
        <v>121</v>
      </c>
      <c r="H100" s="4"/>
      <c r="I100" s="137"/>
      <c r="J100" s="137"/>
      <c r="K100" s="4"/>
      <c r="L100" s="4"/>
      <c r="M100" s="4"/>
      <c r="N100" s="4"/>
    </row>
    <row r="101" spans="1:14" ht="15.6">
      <c r="A101" s="139" t="s">
        <v>388</v>
      </c>
      <c r="B101" s="139" t="s">
        <v>389</v>
      </c>
      <c r="C101" s="140">
        <v>1.31</v>
      </c>
      <c r="D101" s="139" t="s">
        <v>390</v>
      </c>
      <c r="E101" s="141">
        <v>460</v>
      </c>
      <c r="F101" s="4" t="s">
        <v>77</v>
      </c>
      <c r="G101" s="4" t="s">
        <v>121</v>
      </c>
      <c r="H101" s="4"/>
      <c r="I101" s="137"/>
      <c r="J101" s="137"/>
      <c r="K101" s="4"/>
      <c r="L101" s="4"/>
      <c r="M101" s="4"/>
      <c r="N101" s="4"/>
    </row>
    <row r="102" spans="1:14" ht="15.6">
      <c r="A102" s="139" t="s">
        <v>391</v>
      </c>
      <c r="B102" s="139" t="s">
        <v>392</v>
      </c>
      <c r="C102" s="140">
        <v>1.38</v>
      </c>
      <c r="D102" s="139" t="s">
        <v>393</v>
      </c>
      <c r="E102" s="141">
        <v>480</v>
      </c>
      <c r="F102" s="4" t="s">
        <v>77</v>
      </c>
      <c r="G102" s="4" t="s">
        <v>121</v>
      </c>
      <c r="H102" s="4"/>
      <c r="I102" s="137"/>
      <c r="J102" s="137"/>
      <c r="K102" s="4"/>
      <c r="L102" s="4"/>
      <c r="M102" s="4"/>
      <c r="N102" s="4"/>
    </row>
    <row r="103" spans="1:14" ht="15.6">
      <c r="A103" s="139" t="s">
        <v>394</v>
      </c>
      <c r="B103" s="139" t="s">
        <v>395</v>
      </c>
      <c r="C103" s="140">
        <v>1.45</v>
      </c>
      <c r="D103" s="139" t="s">
        <v>372</v>
      </c>
      <c r="E103" s="141">
        <v>515</v>
      </c>
      <c r="F103" s="4" t="s">
        <v>77</v>
      </c>
      <c r="G103" s="4" t="s">
        <v>121</v>
      </c>
      <c r="H103" s="4"/>
      <c r="I103" s="137"/>
      <c r="J103" s="137"/>
      <c r="K103" s="4"/>
      <c r="L103" s="4"/>
      <c r="M103" s="4"/>
      <c r="N103" s="4"/>
    </row>
    <row r="104" spans="1:14" ht="15.6">
      <c r="A104" s="139" t="s">
        <v>396</v>
      </c>
      <c r="B104" s="139" t="s">
        <v>397</v>
      </c>
      <c r="C104" s="140">
        <v>1.56</v>
      </c>
      <c r="D104" s="139" t="s">
        <v>384</v>
      </c>
      <c r="E104" s="141">
        <v>390</v>
      </c>
      <c r="F104" s="4" t="s">
        <v>77</v>
      </c>
      <c r="G104" s="4" t="s">
        <v>278</v>
      </c>
      <c r="H104" s="4"/>
      <c r="I104" s="137"/>
      <c r="J104" s="137"/>
      <c r="K104" s="4"/>
      <c r="L104" s="4"/>
      <c r="M104" s="4"/>
      <c r="N104" s="4"/>
    </row>
    <row r="105" spans="1:14" ht="15.6">
      <c r="A105" s="139" t="s">
        <v>398</v>
      </c>
      <c r="B105" s="139" t="s">
        <v>399</v>
      </c>
      <c r="C105" s="140">
        <v>1.76</v>
      </c>
      <c r="D105" s="139" t="s">
        <v>400</v>
      </c>
      <c r="E105" s="141">
        <v>440</v>
      </c>
      <c r="F105" s="4" t="s">
        <v>77</v>
      </c>
      <c r="G105" s="4" t="s">
        <v>278</v>
      </c>
      <c r="H105" s="4"/>
      <c r="I105" s="137"/>
      <c r="J105" s="137"/>
      <c r="K105" s="4"/>
      <c r="L105" s="4"/>
      <c r="M105" s="4"/>
      <c r="N105" s="4"/>
    </row>
    <row r="106" spans="1:14" ht="15.6">
      <c r="A106" s="139" t="s">
        <v>401</v>
      </c>
      <c r="B106" s="139" t="s">
        <v>402</v>
      </c>
      <c r="C106" s="140">
        <v>2.15</v>
      </c>
      <c r="D106" s="139" t="s">
        <v>403</v>
      </c>
      <c r="E106" s="141">
        <v>470</v>
      </c>
      <c r="F106" s="4" t="s">
        <v>77</v>
      </c>
      <c r="G106" s="4" t="s">
        <v>278</v>
      </c>
      <c r="H106" s="4"/>
      <c r="I106" s="137"/>
      <c r="J106" s="137"/>
      <c r="K106" s="4"/>
      <c r="L106" s="4"/>
      <c r="M106" s="4"/>
      <c r="N106" s="4"/>
    </row>
    <row r="107" spans="1:14" ht="15.6">
      <c r="A107" s="139" t="s">
        <v>404</v>
      </c>
      <c r="B107" s="139" t="s">
        <v>405</v>
      </c>
      <c r="C107" s="140">
        <v>1.46</v>
      </c>
      <c r="D107" s="139" t="s">
        <v>406</v>
      </c>
      <c r="E107" s="141">
        <v>370</v>
      </c>
      <c r="F107" s="4" t="s">
        <v>77</v>
      </c>
      <c r="G107" s="4" t="s">
        <v>278</v>
      </c>
      <c r="H107" s="4"/>
      <c r="I107" s="137"/>
      <c r="J107" s="137"/>
      <c r="K107" s="4"/>
      <c r="L107" s="4"/>
      <c r="M107" s="4"/>
      <c r="N107" s="4"/>
    </row>
    <row r="108" spans="1:14" ht="15.6">
      <c r="A108" s="139" t="s">
        <v>407</v>
      </c>
      <c r="B108" s="139" t="s">
        <v>408</v>
      </c>
      <c r="C108" s="140">
        <v>1.66</v>
      </c>
      <c r="D108" s="139" t="s">
        <v>409</v>
      </c>
      <c r="E108" s="141">
        <v>415</v>
      </c>
      <c r="F108" s="4" t="s">
        <v>77</v>
      </c>
      <c r="G108" s="4" t="s">
        <v>278</v>
      </c>
      <c r="H108" s="4"/>
      <c r="I108" s="137"/>
      <c r="J108" s="137"/>
      <c r="K108" s="4"/>
      <c r="L108" s="4"/>
      <c r="M108" s="4"/>
      <c r="N108" s="4"/>
    </row>
    <row r="109" spans="1:14" ht="15.6">
      <c r="A109" s="139" t="s">
        <v>410</v>
      </c>
      <c r="B109" s="139" t="s">
        <v>411</v>
      </c>
      <c r="C109" s="140">
        <v>2</v>
      </c>
      <c r="D109" s="139" t="s">
        <v>412</v>
      </c>
      <c r="E109" s="141">
        <v>510</v>
      </c>
      <c r="F109" s="4" t="s">
        <v>77</v>
      </c>
      <c r="G109" s="4" t="s">
        <v>278</v>
      </c>
      <c r="H109" s="4"/>
      <c r="I109" s="137"/>
      <c r="J109" s="137"/>
      <c r="K109" s="4"/>
      <c r="L109" s="4"/>
      <c r="M109" s="4"/>
      <c r="N109" s="4"/>
    </row>
    <row r="110" spans="1:14" ht="15.6">
      <c r="A110" s="139" t="s">
        <v>413</v>
      </c>
      <c r="B110" s="139" t="s">
        <v>414</v>
      </c>
      <c r="C110" s="140">
        <v>1.0900000000000001</v>
      </c>
      <c r="D110" s="139" t="s">
        <v>406</v>
      </c>
      <c r="E110" s="141">
        <v>361</v>
      </c>
      <c r="F110" s="4" t="s">
        <v>77</v>
      </c>
      <c r="G110" s="4" t="s">
        <v>107</v>
      </c>
      <c r="H110" s="4"/>
      <c r="I110" s="137"/>
      <c r="J110" s="137"/>
      <c r="K110" s="4"/>
      <c r="L110" s="4"/>
      <c r="M110" s="4"/>
      <c r="N110" s="4"/>
    </row>
    <row r="111" spans="1:14" ht="15.6">
      <c r="A111" s="139" t="s">
        <v>415</v>
      </c>
      <c r="B111" s="139" t="s">
        <v>414</v>
      </c>
      <c r="C111" s="140">
        <v>1.1499999999999999</v>
      </c>
      <c r="D111" s="139" t="s">
        <v>416</v>
      </c>
      <c r="E111" s="141">
        <v>381</v>
      </c>
      <c r="F111" s="4" t="s">
        <v>77</v>
      </c>
      <c r="G111" s="4" t="s">
        <v>107</v>
      </c>
      <c r="H111" s="4"/>
      <c r="I111" s="137"/>
      <c r="J111" s="137"/>
      <c r="K111" s="4"/>
      <c r="L111" s="4"/>
      <c r="M111" s="4"/>
      <c r="N111" s="4"/>
    </row>
    <row r="112" spans="1:14" ht="15.6">
      <c r="A112" s="139" t="s">
        <v>417</v>
      </c>
      <c r="B112" s="139" t="s">
        <v>414</v>
      </c>
      <c r="C112" s="140">
        <v>1.25</v>
      </c>
      <c r="D112" s="139" t="s">
        <v>418</v>
      </c>
      <c r="E112" s="141">
        <v>428</v>
      </c>
      <c r="F112" s="4" t="s">
        <v>77</v>
      </c>
      <c r="G112" s="4" t="s">
        <v>107</v>
      </c>
      <c r="H112" s="4"/>
      <c r="I112" s="137"/>
      <c r="J112" s="137"/>
      <c r="K112" s="4"/>
      <c r="L112" s="4"/>
      <c r="M112" s="4"/>
      <c r="N112" s="4"/>
    </row>
    <row r="113" spans="1:14" ht="15.6">
      <c r="A113" s="139" t="s">
        <v>419</v>
      </c>
      <c r="B113" s="139" t="s">
        <v>414</v>
      </c>
      <c r="C113" s="140">
        <v>1.35</v>
      </c>
      <c r="D113" s="139" t="s">
        <v>390</v>
      </c>
      <c r="E113" s="141">
        <v>463</v>
      </c>
      <c r="F113" s="4" t="s">
        <v>77</v>
      </c>
      <c r="G113" s="4" t="s">
        <v>107</v>
      </c>
      <c r="H113" s="4"/>
      <c r="I113" s="137"/>
      <c r="J113" s="137"/>
      <c r="K113" s="4"/>
      <c r="L113" s="4"/>
      <c r="M113" s="4"/>
      <c r="N113" s="4"/>
    </row>
    <row r="114" spans="1:14" ht="15.6">
      <c r="A114" s="139" t="s">
        <v>420</v>
      </c>
      <c r="B114" s="139" t="s">
        <v>421</v>
      </c>
      <c r="C114" s="140">
        <v>1.7</v>
      </c>
      <c r="D114" s="139" t="s">
        <v>422</v>
      </c>
      <c r="E114" s="141">
        <v>435</v>
      </c>
      <c r="F114" s="4" t="s">
        <v>77</v>
      </c>
      <c r="G114" s="4" t="s">
        <v>114</v>
      </c>
      <c r="H114" s="4"/>
      <c r="I114" s="137"/>
      <c r="J114" s="137"/>
      <c r="K114" s="4"/>
      <c r="L114" s="4"/>
      <c r="M114" s="4"/>
      <c r="N114" s="4"/>
    </row>
    <row r="115" spans="1:14" ht="15.6">
      <c r="A115" s="139" t="s">
        <v>423</v>
      </c>
      <c r="B115" s="139" t="s">
        <v>424</v>
      </c>
      <c r="C115" s="140">
        <v>2.12</v>
      </c>
      <c r="D115" s="139" t="s">
        <v>425</v>
      </c>
      <c r="E115" s="141">
        <v>505</v>
      </c>
      <c r="F115" s="4" t="s">
        <v>77</v>
      </c>
      <c r="G115" s="4" t="s">
        <v>121</v>
      </c>
      <c r="H115" s="4"/>
      <c r="I115" s="137"/>
      <c r="J115" s="137"/>
      <c r="K115" s="4"/>
      <c r="L115" s="4"/>
      <c r="M115" s="4"/>
      <c r="N115" s="4"/>
    </row>
    <row r="116" spans="1:14" ht="15.6">
      <c r="A116" s="139" t="s">
        <v>426</v>
      </c>
      <c r="B116" s="139" t="s">
        <v>427</v>
      </c>
      <c r="C116" s="140">
        <v>2.02</v>
      </c>
      <c r="D116" s="139" t="s">
        <v>428</v>
      </c>
      <c r="E116" s="141">
        <v>465</v>
      </c>
      <c r="F116" s="4" t="s">
        <v>77</v>
      </c>
      <c r="G116" s="4" t="s">
        <v>121</v>
      </c>
      <c r="H116" s="4"/>
      <c r="I116" s="137"/>
      <c r="J116" s="137"/>
      <c r="K116" s="4"/>
      <c r="L116" s="4"/>
      <c r="M116" s="4"/>
      <c r="N116" s="4"/>
    </row>
    <row r="117" spans="1:14" ht="15.6">
      <c r="A117" s="139" t="s">
        <v>429</v>
      </c>
      <c r="B117" s="139" t="s">
        <v>430</v>
      </c>
      <c r="C117" s="140">
        <v>1.75</v>
      </c>
      <c r="D117" s="139" t="s">
        <v>431</v>
      </c>
      <c r="E117" s="141">
        <v>428</v>
      </c>
      <c r="F117" s="4" t="s">
        <v>77</v>
      </c>
      <c r="G117" s="4" t="s">
        <v>107</v>
      </c>
      <c r="H117" s="4"/>
      <c r="I117" s="137"/>
      <c r="J117" s="137"/>
      <c r="K117" s="4"/>
      <c r="L117" s="4"/>
      <c r="M117" s="4"/>
      <c r="N117" s="4"/>
    </row>
    <row r="118" spans="1:14" ht="15.6">
      <c r="A118" s="139" t="s">
        <v>432</v>
      </c>
      <c r="B118" s="139" t="s">
        <v>430</v>
      </c>
      <c r="C118" s="140">
        <v>1.85</v>
      </c>
      <c r="D118" s="139" t="s">
        <v>433</v>
      </c>
      <c r="E118" s="141">
        <v>441</v>
      </c>
      <c r="F118" s="4" t="s">
        <v>77</v>
      </c>
      <c r="G118" s="4" t="s">
        <v>107</v>
      </c>
      <c r="H118" s="4"/>
      <c r="I118" s="137"/>
      <c r="J118" s="137"/>
      <c r="K118" s="4"/>
      <c r="L118" s="4"/>
      <c r="M118" s="4"/>
      <c r="N118" s="4"/>
    </row>
    <row r="119" spans="1:14" ht="15.6">
      <c r="A119" s="139" t="s">
        <v>434</v>
      </c>
      <c r="B119" s="139" t="s">
        <v>430</v>
      </c>
      <c r="C119" s="140">
        <v>1.88</v>
      </c>
      <c r="D119" s="139" t="s">
        <v>435</v>
      </c>
      <c r="E119" s="141">
        <v>468</v>
      </c>
      <c r="F119" s="4" t="s">
        <v>77</v>
      </c>
      <c r="G119" s="4" t="s">
        <v>107</v>
      </c>
      <c r="H119" s="4"/>
      <c r="I119" s="137"/>
      <c r="J119" s="137"/>
      <c r="K119" s="4"/>
      <c r="L119" s="4"/>
      <c r="M119" s="4"/>
      <c r="N119" s="4"/>
    </row>
    <row r="120" spans="1:14" ht="15.6">
      <c r="A120" s="139" t="s">
        <v>436</v>
      </c>
      <c r="B120" s="139" t="s">
        <v>437</v>
      </c>
      <c r="C120" s="140">
        <v>1.71</v>
      </c>
      <c r="D120" s="139" t="s">
        <v>438</v>
      </c>
      <c r="E120" s="141">
        <v>395</v>
      </c>
      <c r="F120" s="4" t="s">
        <v>77</v>
      </c>
      <c r="G120" s="4" t="s">
        <v>278</v>
      </c>
      <c r="H120" s="4"/>
      <c r="I120" s="137"/>
      <c r="J120" s="137"/>
      <c r="K120" s="4"/>
      <c r="L120" s="4"/>
      <c r="M120" s="4"/>
      <c r="N120" s="4"/>
    </row>
    <row r="121" spans="1:14" ht="15.6">
      <c r="A121" s="139" t="s">
        <v>439</v>
      </c>
      <c r="B121" s="139" t="s">
        <v>440</v>
      </c>
      <c r="C121" s="140">
        <v>1.84</v>
      </c>
      <c r="D121" s="139" t="s">
        <v>441</v>
      </c>
      <c r="E121" s="144" t="s">
        <v>442</v>
      </c>
      <c r="F121" s="4" t="s">
        <v>77</v>
      </c>
      <c r="G121" s="4" t="s">
        <v>278</v>
      </c>
      <c r="H121" s="4"/>
      <c r="I121" s="137"/>
      <c r="J121" s="137"/>
      <c r="K121" s="4"/>
      <c r="L121" s="4"/>
      <c r="M121" s="4"/>
      <c r="N121" s="4"/>
    </row>
    <row r="122" spans="1:14" ht="15.6">
      <c r="A122" s="139" t="s">
        <v>443</v>
      </c>
      <c r="B122" s="139" t="s">
        <v>444</v>
      </c>
      <c r="C122" s="140">
        <v>1.55</v>
      </c>
      <c r="D122" s="139" t="s">
        <v>445</v>
      </c>
      <c r="E122" s="141">
        <v>381</v>
      </c>
      <c r="F122" s="4" t="s">
        <v>77</v>
      </c>
      <c r="G122" s="4" t="s">
        <v>107</v>
      </c>
      <c r="H122" s="4"/>
      <c r="I122" s="137"/>
      <c r="J122" s="137"/>
      <c r="K122" s="4"/>
      <c r="L122" s="4"/>
      <c r="M122" s="4"/>
      <c r="N122" s="4"/>
    </row>
    <row r="123" spans="1:14" ht="15.6">
      <c r="A123" s="139" t="s">
        <v>446</v>
      </c>
      <c r="B123" s="139" t="s">
        <v>447</v>
      </c>
      <c r="C123" s="140">
        <v>1.88</v>
      </c>
      <c r="D123" s="139" t="s">
        <v>106</v>
      </c>
      <c r="E123" s="139">
        <v>471</v>
      </c>
      <c r="F123" s="4" t="s">
        <v>78</v>
      </c>
      <c r="G123" s="4" t="s">
        <v>107</v>
      </c>
      <c r="H123" s="4"/>
      <c r="I123" s="137"/>
      <c r="J123" s="137"/>
      <c r="K123" s="4"/>
      <c r="L123" s="4"/>
      <c r="M123" s="4"/>
      <c r="N123" s="4"/>
    </row>
    <row r="124" spans="1:14" ht="15.6">
      <c r="A124" s="139" t="s">
        <v>448</v>
      </c>
      <c r="B124" s="139" t="s">
        <v>449</v>
      </c>
      <c r="C124" s="140">
        <v>1.56</v>
      </c>
      <c r="D124" s="139" t="s">
        <v>110</v>
      </c>
      <c r="E124" s="139">
        <v>471</v>
      </c>
      <c r="F124" s="4" t="s">
        <v>78</v>
      </c>
      <c r="G124" s="4" t="s">
        <v>107</v>
      </c>
      <c r="H124" s="4"/>
      <c r="I124" s="137"/>
      <c r="J124" s="137"/>
      <c r="K124" s="4"/>
      <c r="L124" s="4"/>
      <c r="M124" s="4"/>
      <c r="N124" s="4"/>
    </row>
    <row r="125" spans="1:14" ht="15.6">
      <c r="A125" s="139" t="s">
        <v>450</v>
      </c>
      <c r="B125" s="139" t="s">
        <v>451</v>
      </c>
      <c r="C125" s="140">
        <v>1.6</v>
      </c>
      <c r="D125" s="139" t="s">
        <v>452</v>
      </c>
      <c r="E125" s="139">
        <v>405</v>
      </c>
      <c r="F125" s="4" t="s">
        <v>78</v>
      </c>
      <c r="G125" s="4" t="s">
        <v>114</v>
      </c>
      <c r="H125" s="4"/>
      <c r="I125" s="137"/>
      <c r="J125" s="137"/>
      <c r="K125" s="4"/>
      <c r="L125" s="4"/>
      <c r="M125" s="4"/>
      <c r="N125" s="4"/>
    </row>
    <row r="126" spans="1:14" ht="15.6">
      <c r="A126" s="139" t="s">
        <v>453</v>
      </c>
      <c r="B126" s="139" t="s">
        <v>454</v>
      </c>
      <c r="C126" s="140">
        <v>1.36</v>
      </c>
      <c r="D126" s="139" t="s">
        <v>455</v>
      </c>
      <c r="E126" s="139">
        <v>435</v>
      </c>
      <c r="F126" s="4" t="s">
        <v>78</v>
      </c>
      <c r="G126" s="4" t="s">
        <v>107</v>
      </c>
      <c r="H126" s="4"/>
      <c r="I126" s="137"/>
      <c r="J126" s="4"/>
      <c r="K126" s="4"/>
      <c r="L126" s="4"/>
      <c r="M126" s="4"/>
      <c r="N126" s="4"/>
    </row>
    <row r="127" spans="1:14" ht="15.6">
      <c r="A127" s="139" t="s">
        <v>456</v>
      </c>
      <c r="B127" s="139" t="s">
        <v>454</v>
      </c>
      <c r="C127" s="140">
        <v>1.44</v>
      </c>
      <c r="D127" s="139" t="s">
        <v>124</v>
      </c>
      <c r="E127" s="139">
        <v>471</v>
      </c>
      <c r="F127" s="4" t="s">
        <v>78</v>
      </c>
      <c r="G127" s="4" t="s">
        <v>107</v>
      </c>
      <c r="H127" s="4"/>
      <c r="I127" s="137"/>
      <c r="J127" s="4"/>
      <c r="K127" s="4"/>
      <c r="L127" s="4"/>
      <c r="M127" s="4"/>
      <c r="N127" s="4"/>
    </row>
    <row r="128" spans="1:14" ht="15.6">
      <c r="A128" s="139" t="s">
        <v>457</v>
      </c>
      <c r="B128" s="139" t="s">
        <v>454</v>
      </c>
      <c r="C128" s="140">
        <v>1.62</v>
      </c>
      <c r="D128" s="139" t="s">
        <v>458</v>
      </c>
      <c r="E128" s="139">
        <v>541</v>
      </c>
      <c r="F128" s="4" t="s">
        <v>78</v>
      </c>
      <c r="G128" s="4" t="s">
        <v>107</v>
      </c>
      <c r="H128" s="4"/>
      <c r="I128" s="137"/>
      <c r="J128" s="4"/>
      <c r="K128" s="4"/>
      <c r="L128" s="4"/>
      <c r="M128" s="4"/>
      <c r="N128" s="4"/>
    </row>
    <row r="129" spans="1:14" ht="15.6">
      <c r="A129" s="139" t="s">
        <v>459</v>
      </c>
      <c r="B129" s="139" t="s">
        <v>454</v>
      </c>
      <c r="C129" s="140">
        <v>1.7</v>
      </c>
      <c r="D129" s="139" t="s">
        <v>460</v>
      </c>
      <c r="E129" s="139">
        <v>577</v>
      </c>
      <c r="F129" s="4" t="s">
        <v>78</v>
      </c>
      <c r="G129" s="4" t="s">
        <v>107</v>
      </c>
      <c r="H129" s="4"/>
      <c r="I129" s="137"/>
      <c r="J129" s="4"/>
      <c r="K129" s="4"/>
      <c r="L129" s="4"/>
      <c r="M129" s="4"/>
      <c r="N129" s="4"/>
    </row>
    <row r="130" spans="1:14" ht="15.6">
      <c r="A130" s="139" t="s">
        <v>461</v>
      </c>
      <c r="B130" s="139" t="s">
        <v>462</v>
      </c>
      <c r="C130" s="140">
        <v>1.63</v>
      </c>
      <c r="D130" s="139" t="s">
        <v>127</v>
      </c>
      <c r="E130" s="139">
        <v>470</v>
      </c>
      <c r="F130" s="4" t="s">
        <v>78</v>
      </c>
      <c r="G130" s="4" t="s">
        <v>121</v>
      </c>
      <c r="H130" s="4"/>
      <c r="I130" s="137"/>
      <c r="J130" s="4"/>
      <c r="K130" s="4"/>
      <c r="L130" s="4"/>
      <c r="M130" s="4"/>
      <c r="N130" s="4"/>
    </row>
    <row r="131" spans="1:14" ht="15.6">
      <c r="A131" s="139" t="s">
        <v>463</v>
      </c>
      <c r="B131" s="139" t="s">
        <v>464</v>
      </c>
      <c r="C131" s="140">
        <v>2.16</v>
      </c>
      <c r="D131" s="139" t="s">
        <v>465</v>
      </c>
      <c r="E131" s="139">
        <v>565</v>
      </c>
      <c r="F131" s="4" t="s">
        <v>78</v>
      </c>
      <c r="G131" s="4" t="s">
        <v>114</v>
      </c>
      <c r="H131" s="4"/>
      <c r="I131" s="137"/>
      <c r="J131" s="4"/>
      <c r="K131" s="4"/>
      <c r="L131" s="4"/>
      <c r="M131" s="4"/>
      <c r="N131" s="4"/>
    </row>
    <row r="132" spans="1:14" ht="15.6">
      <c r="A132" s="139" t="s">
        <v>466</v>
      </c>
      <c r="B132" s="139" t="s">
        <v>467</v>
      </c>
      <c r="C132" s="140">
        <v>2.42</v>
      </c>
      <c r="D132" s="139" t="s">
        <v>468</v>
      </c>
      <c r="E132" s="139">
        <v>577</v>
      </c>
      <c r="F132" s="4" t="s">
        <v>78</v>
      </c>
      <c r="G132" s="4" t="s">
        <v>107</v>
      </c>
      <c r="H132" s="4"/>
      <c r="I132" s="137"/>
      <c r="J132" s="137"/>
      <c r="K132" s="4"/>
      <c r="L132" s="4"/>
      <c r="M132" s="4"/>
      <c r="N132" s="4"/>
    </row>
    <row r="133" spans="1:14" ht="15.6">
      <c r="A133" s="139" t="s">
        <v>469</v>
      </c>
      <c r="B133" s="139" t="s">
        <v>470</v>
      </c>
      <c r="C133" s="140">
        <v>2</v>
      </c>
      <c r="D133" s="139" t="s">
        <v>145</v>
      </c>
      <c r="E133" s="139">
        <v>510</v>
      </c>
      <c r="F133" s="4" t="s">
        <v>78</v>
      </c>
      <c r="G133" s="4" t="s">
        <v>114</v>
      </c>
      <c r="H133" s="4"/>
      <c r="I133" s="137"/>
      <c r="J133" s="137"/>
      <c r="K133" s="4"/>
      <c r="L133" s="4"/>
      <c r="M133" s="4"/>
      <c r="N133" s="4"/>
    </row>
    <row r="134" spans="1:14" ht="15.6">
      <c r="A134" s="139" t="s">
        <v>471</v>
      </c>
      <c r="B134" s="139" t="s">
        <v>472</v>
      </c>
      <c r="C134" s="140">
        <v>2.04</v>
      </c>
      <c r="D134" s="139" t="s">
        <v>473</v>
      </c>
      <c r="E134" s="139">
        <v>545</v>
      </c>
      <c r="F134" s="4" t="s">
        <v>78</v>
      </c>
      <c r="G134" s="4" t="s">
        <v>114</v>
      </c>
      <c r="H134" s="4"/>
      <c r="I134" s="137"/>
      <c r="J134" s="137"/>
      <c r="K134" s="4"/>
      <c r="L134" s="4"/>
      <c r="M134" s="4"/>
      <c r="N134" s="4"/>
    </row>
    <row r="135" spans="1:14" ht="15.6">
      <c r="A135" s="139" t="s">
        <v>474</v>
      </c>
      <c r="B135" s="139" t="s">
        <v>475</v>
      </c>
      <c r="C135" s="140">
        <v>1.54</v>
      </c>
      <c r="D135" s="139" t="s">
        <v>148</v>
      </c>
      <c r="E135" s="139">
        <v>465</v>
      </c>
      <c r="F135" s="4" t="s">
        <v>78</v>
      </c>
      <c r="G135" s="4" t="s">
        <v>114</v>
      </c>
      <c r="H135" s="4"/>
      <c r="I135" s="137"/>
      <c r="J135" s="137"/>
      <c r="K135" s="4"/>
      <c r="L135" s="4"/>
      <c r="M135" s="4"/>
      <c r="N135" s="4"/>
    </row>
    <row r="136" spans="1:14" ht="15.6">
      <c r="A136" s="139" t="s">
        <v>476</v>
      </c>
      <c r="B136" s="139" t="s">
        <v>477</v>
      </c>
      <c r="C136" s="140">
        <v>1.18</v>
      </c>
      <c r="D136" s="139" t="s">
        <v>214</v>
      </c>
      <c r="E136" s="139">
        <v>465</v>
      </c>
      <c r="F136" s="4" t="s">
        <v>78</v>
      </c>
      <c r="G136" s="4" t="s">
        <v>121</v>
      </c>
      <c r="H136" s="4"/>
      <c r="I136" s="137"/>
      <c r="J136" s="137"/>
      <c r="K136" s="4"/>
      <c r="L136" s="4"/>
      <c r="M136" s="4"/>
      <c r="N136" s="4"/>
    </row>
    <row r="137" spans="1:14" ht="15.6">
      <c r="A137" s="139" t="s">
        <v>478</v>
      </c>
      <c r="B137" s="139" t="s">
        <v>479</v>
      </c>
      <c r="C137" s="140">
        <v>1.01</v>
      </c>
      <c r="D137" s="139" t="s">
        <v>480</v>
      </c>
      <c r="E137" s="139">
        <v>356</v>
      </c>
      <c r="F137" s="4" t="s">
        <v>78</v>
      </c>
      <c r="G137" s="4" t="s">
        <v>152</v>
      </c>
      <c r="H137" s="4"/>
      <c r="I137" s="137"/>
      <c r="J137" s="137"/>
      <c r="K137" s="4"/>
      <c r="L137" s="4"/>
      <c r="M137" s="4"/>
      <c r="N137" s="4"/>
    </row>
    <row r="138" spans="1:14" ht="15.6">
      <c r="A138" s="139" t="s">
        <v>481</v>
      </c>
      <c r="B138" s="139" t="s">
        <v>482</v>
      </c>
      <c r="C138" s="140">
        <v>1.03</v>
      </c>
      <c r="D138" s="139" t="s">
        <v>169</v>
      </c>
      <c r="E138" s="139">
        <v>370</v>
      </c>
      <c r="F138" s="4" t="s">
        <v>78</v>
      </c>
      <c r="G138" s="4" t="s">
        <v>152</v>
      </c>
      <c r="H138" s="4"/>
      <c r="I138" s="137"/>
      <c r="J138" s="137"/>
      <c r="K138" s="4"/>
      <c r="L138" s="4"/>
      <c r="M138" s="4"/>
      <c r="N138" s="4"/>
    </row>
    <row r="139" spans="1:14" ht="15.6">
      <c r="A139" s="139" t="s">
        <v>483</v>
      </c>
      <c r="B139" s="139" t="s">
        <v>484</v>
      </c>
      <c r="C139" s="140">
        <v>1.07</v>
      </c>
      <c r="D139" s="139" t="s">
        <v>172</v>
      </c>
      <c r="E139" s="139">
        <v>390</v>
      </c>
      <c r="F139" s="4" t="s">
        <v>78</v>
      </c>
      <c r="G139" s="4" t="s">
        <v>152</v>
      </c>
      <c r="H139" s="4"/>
      <c r="I139" s="137"/>
      <c r="J139" s="137"/>
      <c r="K139" s="4"/>
      <c r="L139" s="4"/>
      <c r="M139" s="4"/>
      <c r="N139" s="4"/>
    </row>
    <row r="140" spans="1:14" ht="15.6">
      <c r="A140" s="139" t="s">
        <v>485</v>
      </c>
      <c r="B140" s="139" t="s">
        <v>486</v>
      </c>
      <c r="C140" s="140">
        <v>1.1100000000000001</v>
      </c>
      <c r="D140" s="139" t="s">
        <v>175</v>
      </c>
      <c r="E140" s="139">
        <v>410</v>
      </c>
      <c r="F140" s="4" t="s">
        <v>78</v>
      </c>
      <c r="G140" s="4" t="s">
        <v>152</v>
      </c>
      <c r="H140" s="4"/>
      <c r="I140" s="137"/>
      <c r="J140" s="137"/>
      <c r="K140" s="4"/>
      <c r="L140" s="4"/>
      <c r="M140" s="4"/>
      <c r="N140" s="4"/>
    </row>
    <row r="141" spans="1:14" ht="15.6">
      <c r="A141" s="139" t="s">
        <v>487</v>
      </c>
      <c r="B141" s="139" t="s">
        <v>488</v>
      </c>
      <c r="C141" s="140">
        <v>1.1499999999999999</v>
      </c>
      <c r="D141" s="139" t="s">
        <v>178</v>
      </c>
      <c r="E141" s="139">
        <v>430</v>
      </c>
      <c r="F141" s="4" t="s">
        <v>78</v>
      </c>
      <c r="G141" s="4" t="s">
        <v>152</v>
      </c>
      <c r="H141" s="4"/>
      <c r="I141" s="137"/>
      <c r="J141" s="137"/>
      <c r="K141" s="4"/>
      <c r="L141" s="4"/>
      <c r="M141" s="4"/>
      <c r="N141" s="4"/>
    </row>
    <row r="142" spans="1:14" ht="15.6">
      <c r="A142" s="139" t="s">
        <v>489</v>
      </c>
      <c r="B142" s="139" t="s">
        <v>490</v>
      </c>
      <c r="C142" s="140">
        <v>1.22</v>
      </c>
      <c r="D142" s="139" t="s">
        <v>181</v>
      </c>
      <c r="E142" s="139">
        <v>466</v>
      </c>
      <c r="F142" s="4" t="s">
        <v>78</v>
      </c>
      <c r="G142" s="4" t="s">
        <v>152</v>
      </c>
      <c r="H142" s="4"/>
      <c r="I142" s="137"/>
      <c r="J142" s="137"/>
      <c r="K142" s="4"/>
      <c r="L142" s="4"/>
      <c r="M142" s="4"/>
      <c r="N142" s="4"/>
    </row>
    <row r="143" spans="1:14" ht="15.6">
      <c r="A143" s="139" t="s">
        <v>491</v>
      </c>
      <c r="B143" s="139" t="s">
        <v>492</v>
      </c>
      <c r="C143" s="140">
        <v>1.26</v>
      </c>
      <c r="D143" s="139" t="s">
        <v>184</v>
      </c>
      <c r="E143" s="139">
        <v>488</v>
      </c>
      <c r="F143" s="4" t="s">
        <v>78</v>
      </c>
      <c r="G143" s="4" t="s">
        <v>152</v>
      </c>
      <c r="H143" s="4"/>
      <c r="I143" s="137"/>
      <c r="J143" s="4"/>
      <c r="K143" s="4"/>
      <c r="L143" s="4"/>
      <c r="M143" s="4"/>
      <c r="N143" s="4"/>
    </row>
    <row r="144" spans="1:14" ht="15.6">
      <c r="A144" s="139" t="s">
        <v>493</v>
      </c>
      <c r="B144" s="139" t="s">
        <v>494</v>
      </c>
      <c r="C144" s="140">
        <v>1.32</v>
      </c>
      <c r="D144" s="139" t="s">
        <v>187</v>
      </c>
      <c r="E144" s="139">
        <v>518</v>
      </c>
      <c r="F144" s="4" t="s">
        <v>78</v>
      </c>
      <c r="G144" s="4" t="s">
        <v>152</v>
      </c>
      <c r="H144" s="4"/>
      <c r="I144" s="137"/>
      <c r="J144" s="137"/>
      <c r="K144" s="4"/>
      <c r="L144" s="4"/>
      <c r="M144" s="4"/>
      <c r="N144" s="4"/>
    </row>
    <row r="145" spans="1:14" ht="15.6">
      <c r="A145" s="139" t="s">
        <v>495</v>
      </c>
      <c r="B145" s="139" t="s">
        <v>496</v>
      </c>
      <c r="C145" s="140">
        <v>1.37</v>
      </c>
      <c r="D145" s="139" t="s">
        <v>497</v>
      </c>
      <c r="E145" s="139">
        <v>546</v>
      </c>
      <c r="F145" s="4" t="s">
        <v>78</v>
      </c>
      <c r="G145" s="4" t="s">
        <v>152</v>
      </c>
      <c r="H145" s="4"/>
      <c r="I145" s="137"/>
      <c r="J145" s="137"/>
      <c r="K145" s="4"/>
      <c r="L145" s="4"/>
      <c r="M145" s="4"/>
      <c r="N145" s="4"/>
    </row>
    <row r="146" spans="1:14" ht="15.6">
      <c r="A146" s="139" t="s">
        <v>498</v>
      </c>
      <c r="B146" s="139" t="s">
        <v>499</v>
      </c>
      <c r="C146" s="140">
        <v>1.1200000000000001</v>
      </c>
      <c r="D146" s="139" t="s">
        <v>202</v>
      </c>
      <c r="E146" s="139">
        <v>380</v>
      </c>
      <c r="F146" s="4" t="s">
        <v>78</v>
      </c>
      <c r="G146" s="4" t="s">
        <v>114</v>
      </c>
      <c r="H146" s="4"/>
      <c r="I146" s="137"/>
      <c r="J146" s="4"/>
      <c r="K146" s="4"/>
      <c r="L146" s="4"/>
      <c r="M146" s="4"/>
      <c r="N146" s="4"/>
    </row>
    <row r="147" spans="1:14" ht="15.6">
      <c r="A147" s="139" t="s">
        <v>500</v>
      </c>
      <c r="B147" s="139" t="s">
        <v>501</v>
      </c>
      <c r="C147" s="140">
        <v>1.24</v>
      </c>
      <c r="D147" s="139" t="s">
        <v>208</v>
      </c>
      <c r="E147" s="139">
        <v>445</v>
      </c>
      <c r="F147" s="4" t="s">
        <v>78</v>
      </c>
      <c r="G147" s="4" t="s">
        <v>114</v>
      </c>
      <c r="H147" s="4"/>
      <c r="I147" s="137"/>
      <c r="J147" s="137"/>
      <c r="K147" s="4"/>
      <c r="L147" s="4"/>
      <c r="M147" s="4"/>
      <c r="N147" s="4"/>
    </row>
    <row r="148" spans="1:14" ht="15.6">
      <c r="A148" s="139" t="s">
        <v>502</v>
      </c>
      <c r="B148" s="139" t="s">
        <v>503</v>
      </c>
      <c r="C148" s="140">
        <v>1.08</v>
      </c>
      <c r="D148" s="139" t="s">
        <v>205</v>
      </c>
      <c r="E148" s="139">
        <v>415</v>
      </c>
      <c r="F148" s="4" t="s">
        <v>78</v>
      </c>
      <c r="G148" s="4" t="s">
        <v>114</v>
      </c>
      <c r="H148" s="4"/>
      <c r="I148" s="137"/>
      <c r="J148" s="137"/>
      <c r="K148" s="4"/>
      <c r="L148" s="4"/>
      <c r="M148" s="4"/>
      <c r="N148" s="4"/>
    </row>
    <row r="149" spans="1:14" ht="15.6">
      <c r="A149" s="139" t="s">
        <v>504</v>
      </c>
      <c r="B149" s="139" t="s">
        <v>505</v>
      </c>
      <c r="C149" s="140">
        <v>1.32</v>
      </c>
      <c r="D149" s="139" t="s">
        <v>506</v>
      </c>
      <c r="E149" s="139">
        <v>435</v>
      </c>
      <c r="F149" s="4" t="s">
        <v>78</v>
      </c>
      <c r="G149" s="4" t="s">
        <v>114</v>
      </c>
      <c r="H149" s="4"/>
      <c r="I149" s="137"/>
      <c r="J149" s="137"/>
      <c r="K149" s="4"/>
      <c r="L149" s="4"/>
      <c r="M149" s="4"/>
      <c r="N149" s="4"/>
    </row>
    <row r="150" spans="1:14" ht="15.6">
      <c r="A150" s="139" t="s">
        <v>507</v>
      </c>
      <c r="B150" s="139" t="s">
        <v>508</v>
      </c>
      <c r="C150" s="140">
        <v>1.33</v>
      </c>
      <c r="D150" s="139" t="s">
        <v>217</v>
      </c>
      <c r="E150" s="139">
        <v>505</v>
      </c>
      <c r="F150" s="4" t="s">
        <v>78</v>
      </c>
      <c r="G150" s="4" t="s">
        <v>114</v>
      </c>
      <c r="H150" s="4"/>
      <c r="I150" s="137"/>
      <c r="J150" s="137"/>
      <c r="K150" s="4"/>
      <c r="L150" s="4"/>
      <c r="M150" s="4"/>
      <c r="N150" s="4"/>
    </row>
    <row r="151" spans="1:14" ht="15.6">
      <c r="A151" s="139" t="s">
        <v>509</v>
      </c>
      <c r="B151" s="139" t="s">
        <v>510</v>
      </c>
      <c r="C151" s="140">
        <v>1.35</v>
      </c>
      <c r="D151" s="139" t="s">
        <v>220</v>
      </c>
      <c r="E151" s="139">
        <v>535</v>
      </c>
      <c r="F151" s="4" t="s">
        <v>78</v>
      </c>
      <c r="G151" s="4" t="s">
        <v>114</v>
      </c>
      <c r="H151" s="4"/>
      <c r="I151" s="137"/>
      <c r="J151" s="137"/>
      <c r="K151" s="4"/>
      <c r="L151" s="4"/>
      <c r="M151" s="4"/>
      <c r="N151" s="4"/>
    </row>
    <row r="152" spans="1:14" ht="15.6">
      <c r="A152" s="139" t="s">
        <v>511</v>
      </c>
      <c r="B152" s="139" t="s">
        <v>512</v>
      </c>
      <c r="C152" s="140">
        <v>0.93</v>
      </c>
      <c r="D152" s="139" t="s">
        <v>242</v>
      </c>
      <c r="E152" s="139">
        <v>350</v>
      </c>
      <c r="F152" s="4" t="s">
        <v>78</v>
      </c>
      <c r="G152" s="4" t="s">
        <v>121</v>
      </c>
      <c r="H152" s="4"/>
      <c r="I152" s="137"/>
      <c r="J152" s="137"/>
      <c r="K152" s="4"/>
      <c r="L152" s="4"/>
      <c r="M152" s="4"/>
      <c r="N152" s="4"/>
    </row>
    <row r="153" spans="1:14" ht="15.6">
      <c r="A153" s="139" t="s">
        <v>513</v>
      </c>
      <c r="B153" s="139" t="s">
        <v>514</v>
      </c>
      <c r="C153" s="140">
        <v>0.95</v>
      </c>
      <c r="D153" s="139" t="s">
        <v>245</v>
      </c>
      <c r="E153" s="139">
        <v>355</v>
      </c>
      <c r="F153" s="4" t="s">
        <v>78</v>
      </c>
      <c r="G153" s="4" t="s">
        <v>121</v>
      </c>
      <c r="H153" s="4"/>
      <c r="I153" s="137"/>
      <c r="J153" s="137"/>
      <c r="K153" s="4"/>
      <c r="L153" s="4"/>
      <c r="M153" s="4"/>
      <c r="N153" s="4"/>
    </row>
    <row r="154" spans="1:14" ht="15.6">
      <c r="A154" s="139" t="s">
        <v>515</v>
      </c>
      <c r="B154" s="139" t="s">
        <v>516</v>
      </c>
      <c r="C154" s="140">
        <v>0.98</v>
      </c>
      <c r="D154" s="139" t="s">
        <v>248</v>
      </c>
      <c r="E154" s="139">
        <v>370</v>
      </c>
      <c r="F154" s="4" t="s">
        <v>78</v>
      </c>
      <c r="G154" s="4" t="s">
        <v>121</v>
      </c>
      <c r="H154" s="4"/>
      <c r="I154" s="137"/>
      <c r="J154" s="137"/>
      <c r="K154" s="4"/>
      <c r="L154" s="4"/>
      <c r="M154" s="4"/>
      <c r="N154" s="4"/>
    </row>
    <row r="155" spans="1:14" ht="15.6">
      <c r="A155" s="139" t="s">
        <v>517</v>
      </c>
      <c r="B155" s="139" t="s">
        <v>518</v>
      </c>
      <c r="C155" s="140">
        <v>1.02</v>
      </c>
      <c r="D155" s="139" t="s">
        <v>251</v>
      </c>
      <c r="E155" s="139">
        <v>390</v>
      </c>
      <c r="F155" s="4" t="s">
        <v>78</v>
      </c>
      <c r="G155" s="4" t="s">
        <v>121</v>
      </c>
      <c r="H155" s="4"/>
      <c r="I155" s="137"/>
      <c r="J155" s="137"/>
      <c r="K155" s="4"/>
      <c r="L155" s="4"/>
      <c r="M155" s="4"/>
      <c r="N155" s="4"/>
    </row>
    <row r="156" spans="1:14" ht="15.6">
      <c r="A156" s="139" t="s">
        <v>519</v>
      </c>
      <c r="B156" s="139" t="s">
        <v>520</v>
      </c>
      <c r="C156" s="140">
        <v>1.05</v>
      </c>
      <c r="D156" s="139" t="s">
        <v>254</v>
      </c>
      <c r="E156" s="139">
        <v>405</v>
      </c>
      <c r="F156" s="4" t="s">
        <v>78</v>
      </c>
      <c r="G156" s="4" t="s">
        <v>121</v>
      </c>
      <c r="H156" s="4"/>
      <c r="I156" s="137"/>
      <c r="J156" s="137"/>
      <c r="K156" s="4"/>
      <c r="L156" s="4"/>
      <c r="M156" s="4"/>
      <c r="N156" s="4"/>
    </row>
    <row r="157" spans="1:14" ht="15.6">
      <c r="A157" s="139" t="s">
        <v>521</v>
      </c>
      <c r="B157" s="139" t="s">
        <v>522</v>
      </c>
      <c r="C157" s="140">
        <v>1.08</v>
      </c>
      <c r="D157" s="139" t="s">
        <v>257</v>
      </c>
      <c r="E157" s="139">
        <v>420</v>
      </c>
      <c r="F157" s="4" t="s">
        <v>78</v>
      </c>
      <c r="G157" s="4" t="s">
        <v>121</v>
      </c>
      <c r="H157" s="4"/>
      <c r="I157" s="137"/>
      <c r="J157" s="137"/>
      <c r="K157" s="4"/>
      <c r="L157" s="4"/>
      <c r="M157" s="4"/>
      <c r="N157" s="4"/>
    </row>
    <row r="158" spans="1:14" ht="15.6">
      <c r="A158" s="139" t="s">
        <v>523</v>
      </c>
      <c r="B158" s="139" t="s">
        <v>524</v>
      </c>
      <c r="C158" s="140">
        <v>1.1000000000000001</v>
      </c>
      <c r="D158" s="139" t="s">
        <v>260</v>
      </c>
      <c r="E158" s="139">
        <v>430</v>
      </c>
      <c r="F158" s="4" t="s">
        <v>78</v>
      </c>
      <c r="G158" s="4" t="s">
        <v>121</v>
      </c>
      <c r="H158" s="4"/>
      <c r="I158" s="137"/>
      <c r="J158" s="137"/>
      <c r="K158" s="4"/>
      <c r="L158" s="4"/>
      <c r="M158" s="4"/>
      <c r="N158" s="4"/>
    </row>
    <row r="159" spans="1:14" ht="15.6">
      <c r="A159" s="139" t="s">
        <v>525</v>
      </c>
      <c r="B159" s="139" t="s">
        <v>526</v>
      </c>
      <c r="C159" s="140">
        <v>1.1499999999999999</v>
      </c>
      <c r="D159" s="139" t="s">
        <v>263</v>
      </c>
      <c r="E159" s="139">
        <v>450</v>
      </c>
      <c r="F159" s="4" t="s">
        <v>78</v>
      </c>
      <c r="G159" s="4" t="s">
        <v>121</v>
      </c>
      <c r="H159" s="4"/>
      <c r="I159" s="137"/>
      <c r="J159" s="137"/>
      <c r="K159" s="4"/>
      <c r="L159" s="4"/>
      <c r="M159" s="4"/>
      <c r="N159" s="4"/>
    </row>
    <row r="160" spans="1:14" ht="15.6">
      <c r="A160" s="139" t="s">
        <v>527</v>
      </c>
      <c r="B160" s="139" t="s">
        <v>528</v>
      </c>
      <c r="C160" s="140">
        <v>1.21</v>
      </c>
      <c r="D160" s="139" t="s">
        <v>268</v>
      </c>
      <c r="E160" s="139">
        <v>485</v>
      </c>
      <c r="F160" s="4" t="s">
        <v>78</v>
      </c>
      <c r="G160" s="4" t="s">
        <v>121</v>
      </c>
      <c r="H160" s="4"/>
      <c r="I160" s="137"/>
      <c r="J160" s="4"/>
      <c r="K160" s="4"/>
      <c r="L160" s="4"/>
      <c r="M160" s="4"/>
      <c r="N160" s="4"/>
    </row>
    <row r="161" spans="1:14" ht="15.6">
      <c r="A161" s="139" t="s">
        <v>529</v>
      </c>
      <c r="B161" s="139" t="s">
        <v>477</v>
      </c>
      <c r="C161" s="140"/>
      <c r="D161" s="139" t="s">
        <v>214</v>
      </c>
      <c r="E161" s="139">
        <v>465</v>
      </c>
      <c r="F161" s="4" t="s">
        <v>78</v>
      </c>
      <c r="G161" s="4" t="s">
        <v>121</v>
      </c>
      <c r="H161" s="4"/>
      <c r="I161" s="137"/>
      <c r="J161" s="4"/>
      <c r="K161" s="4"/>
      <c r="L161" s="4"/>
      <c r="M161" s="4"/>
      <c r="N161" s="4"/>
    </row>
    <row r="162" spans="1:14" ht="15.6">
      <c r="A162" s="139" t="s">
        <v>530</v>
      </c>
      <c r="B162" s="139" t="s">
        <v>531</v>
      </c>
      <c r="C162" s="140">
        <v>1.28</v>
      </c>
      <c r="D162" s="139" t="s">
        <v>271</v>
      </c>
      <c r="E162" s="139">
        <v>515</v>
      </c>
      <c r="F162" s="4" t="s">
        <v>78</v>
      </c>
      <c r="G162" s="4" t="s">
        <v>121</v>
      </c>
      <c r="H162" s="4"/>
      <c r="I162" s="137"/>
      <c r="J162" s="4"/>
      <c r="K162" s="4"/>
      <c r="L162" s="4"/>
      <c r="M162" s="4"/>
      <c r="N162" s="4"/>
    </row>
    <row r="163" spans="1:14" ht="15.6">
      <c r="A163" s="139" t="s">
        <v>532</v>
      </c>
      <c r="B163" s="139" t="s">
        <v>533</v>
      </c>
      <c r="C163" s="140">
        <v>1.3</v>
      </c>
      <c r="D163" s="139" t="s">
        <v>275</v>
      </c>
      <c r="E163" s="139">
        <v>525</v>
      </c>
      <c r="F163" s="4" t="s">
        <v>78</v>
      </c>
      <c r="G163" s="4" t="s">
        <v>121</v>
      </c>
      <c r="H163" s="4"/>
      <c r="I163" s="137"/>
      <c r="J163" s="4"/>
      <c r="K163" s="4"/>
      <c r="L163" s="4"/>
      <c r="M163" s="4"/>
      <c r="N163" s="4"/>
    </row>
    <row r="164" spans="1:14" ht="15.6">
      <c r="A164" s="139" t="s">
        <v>534</v>
      </c>
      <c r="B164" s="139" t="s">
        <v>535</v>
      </c>
      <c r="C164" s="140">
        <v>1.4</v>
      </c>
      <c r="D164" s="139" t="s">
        <v>242</v>
      </c>
      <c r="E164" s="139">
        <v>355</v>
      </c>
      <c r="F164" s="4" t="s">
        <v>78</v>
      </c>
      <c r="G164" s="4" t="s">
        <v>278</v>
      </c>
      <c r="H164" s="4"/>
      <c r="I164" s="137"/>
      <c r="J164" s="137"/>
      <c r="K164" s="4"/>
      <c r="L164" s="4"/>
      <c r="M164" s="4"/>
      <c r="N164" s="4"/>
    </row>
    <row r="165" spans="1:14" ht="15.6">
      <c r="A165" s="139" t="s">
        <v>536</v>
      </c>
      <c r="B165" s="139" t="s">
        <v>537</v>
      </c>
      <c r="C165" s="140">
        <v>1.55</v>
      </c>
      <c r="D165" s="139" t="s">
        <v>251</v>
      </c>
      <c r="E165" s="139">
        <v>395</v>
      </c>
      <c r="F165" s="4" t="s">
        <v>78</v>
      </c>
      <c r="G165" s="4" t="s">
        <v>278</v>
      </c>
      <c r="H165" s="4"/>
      <c r="I165" s="137"/>
      <c r="J165" s="137"/>
      <c r="K165" s="4"/>
      <c r="L165" s="4"/>
      <c r="M165" s="4"/>
      <c r="N165" s="4"/>
    </row>
    <row r="166" spans="1:14" ht="15.6">
      <c r="A166" s="139" t="s">
        <v>538</v>
      </c>
      <c r="B166" s="139" t="s">
        <v>539</v>
      </c>
      <c r="C166" s="140">
        <v>1.69</v>
      </c>
      <c r="D166" s="139" t="s">
        <v>285</v>
      </c>
      <c r="E166" s="139">
        <v>440</v>
      </c>
      <c r="F166" s="4" t="s">
        <v>78</v>
      </c>
      <c r="G166" s="4" t="s">
        <v>278</v>
      </c>
      <c r="H166" s="4"/>
      <c r="I166" s="137"/>
      <c r="J166" s="137"/>
      <c r="K166" s="4"/>
      <c r="L166" s="4"/>
      <c r="M166" s="4"/>
      <c r="N166" s="4"/>
    </row>
    <row r="167" spans="1:14" ht="15.6">
      <c r="A167" s="139" t="s">
        <v>540</v>
      </c>
      <c r="B167" s="139" t="s">
        <v>541</v>
      </c>
      <c r="C167" s="140">
        <v>1.84</v>
      </c>
      <c r="D167" s="139" t="s">
        <v>288</v>
      </c>
      <c r="E167" s="139">
        <v>475</v>
      </c>
      <c r="F167" s="4" t="s">
        <v>78</v>
      </c>
      <c r="G167" s="4" t="s">
        <v>278</v>
      </c>
      <c r="H167" s="4"/>
      <c r="I167" s="137"/>
      <c r="J167" s="137"/>
      <c r="K167" s="4"/>
      <c r="L167" s="4"/>
      <c r="M167" s="4"/>
      <c r="N167" s="4"/>
    </row>
    <row r="168" spans="1:14" ht="15.6">
      <c r="A168" s="139" t="s">
        <v>542</v>
      </c>
      <c r="B168" s="139" t="s">
        <v>543</v>
      </c>
      <c r="C168" s="140">
        <v>1.97</v>
      </c>
      <c r="D168" s="139" t="s">
        <v>291</v>
      </c>
      <c r="E168" s="139">
        <v>525</v>
      </c>
      <c r="F168" s="4" t="s">
        <v>78</v>
      </c>
      <c r="G168" s="4" t="s">
        <v>107</v>
      </c>
      <c r="H168" s="4"/>
      <c r="I168" s="137"/>
      <c r="J168" s="137"/>
      <c r="K168" s="4"/>
      <c r="L168" s="4"/>
      <c r="M168" s="4"/>
      <c r="N168" s="4"/>
    </row>
    <row r="169" spans="1:14" ht="15.6">
      <c r="A169" s="139" t="s">
        <v>544</v>
      </c>
      <c r="B169" s="139" t="s">
        <v>545</v>
      </c>
      <c r="C169" s="140">
        <v>0.94</v>
      </c>
      <c r="D169" s="139" t="s">
        <v>242</v>
      </c>
      <c r="E169" s="139">
        <v>351</v>
      </c>
      <c r="F169" s="4" t="s">
        <v>78</v>
      </c>
      <c r="G169" s="4" t="s">
        <v>107</v>
      </c>
      <c r="H169" s="4"/>
      <c r="I169" s="137"/>
      <c r="J169" s="137"/>
      <c r="K169" s="4"/>
      <c r="L169" s="4"/>
      <c r="M169" s="4"/>
      <c r="N169" s="4"/>
    </row>
    <row r="170" spans="1:14" ht="15.6">
      <c r="A170" s="139" t="s">
        <v>546</v>
      </c>
      <c r="B170" s="139" t="s">
        <v>545</v>
      </c>
      <c r="C170" s="140">
        <v>1.03</v>
      </c>
      <c r="D170" s="139" t="s">
        <v>251</v>
      </c>
      <c r="E170" s="139">
        <v>391</v>
      </c>
      <c r="F170" s="4" t="s">
        <v>78</v>
      </c>
      <c r="G170" s="4" t="s">
        <v>107</v>
      </c>
      <c r="H170" s="4"/>
      <c r="I170" s="137"/>
      <c r="J170" s="137"/>
      <c r="K170" s="4"/>
      <c r="L170" s="4"/>
      <c r="M170" s="4"/>
      <c r="N170" s="4"/>
    </row>
    <row r="171" spans="1:14" ht="15.6">
      <c r="A171" s="139" t="s">
        <v>547</v>
      </c>
      <c r="B171" s="139" t="s">
        <v>545</v>
      </c>
      <c r="C171" s="140">
        <v>1.0900000000000001</v>
      </c>
      <c r="D171" s="139" t="s">
        <v>257</v>
      </c>
      <c r="E171" s="139">
        <v>421</v>
      </c>
      <c r="F171" s="4" t="s">
        <v>78</v>
      </c>
      <c r="G171" s="4" t="s">
        <v>107</v>
      </c>
      <c r="H171" s="4"/>
      <c r="I171" s="137"/>
      <c r="J171" s="137"/>
      <c r="K171" s="4"/>
      <c r="L171" s="4"/>
      <c r="M171" s="4"/>
      <c r="N171" s="4"/>
    </row>
    <row r="172" spans="1:14" ht="15.6">
      <c r="A172" s="139" t="s">
        <v>548</v>
      </c>
      <c r="B172" s="139" t="s">
        <v>545</v>
      </c>
      <c r="C172" s="140">
        <v>1.1499999999999999</v>
      </c>
      <c r="D172" s="139" t="s">
        <v>300</v>
      </c>
      <c r="E172" s="139">
        <v>450</v>
      </c>
      <c r="F172" s="4" t="s">
        <v>78</v>
      </c>
      <c r="G172" s="4" t="s">
        <v>107</v>
      </c>
      <c r="H172" s="4"/>
      <c r="I172" s="137"/>
      <c r="J172" s="137"/>
      <c r="K172" s="4"/>
      <c r="L172" s="4"/>
      <c r="M172" s="4"/>
      <c r="N172" s="4"/>
    </row>
    <row r="173" spans="1:14" ht="15.6">
      <c r="A173" s="139" t="s">
        <v>549</v>
      </c>
      <c r="B173" s="139" t="s">
        <v>545</v>
      </c>
      <c r="C173" s="140">
        <v>1.19</v>
      </c>
      <c r="D173" s="139" t="s">
        <v>214</v>
      </c>
      <c r="E173" s="139">
        <v>471</v>
      </c>
      <c r="F173" s="4" t="s">
        <v>78</v>
      </c>
      <c r="G173" s="4" t="s">
        <v>107</v>
      </c>
      <c r="H173" s="4"/>
      <c r="I173" s="137"/>
      <c r="J173" s="137"/>
      <c r="K173" s="4"/>
      <c r="L173" s="4"/>
      <c r="M173" s="4"/>
      <c r="N173" s="4"/>
    </row>
    <row r="174" spans="1:14" ht="15.6">
      <c r="A174" s="139" t="s">
        <v>550</v>
      </c>
      <c r="B174" s="139" t="s">
        <v>545</v>
      </c>
      <c r="C174" s="140">
        <v>1.27</v>
      </c>
      <c r="D174" s="139" t="s">
        <v>229</v>
      </c>
      <c r="E174" s="139">
        <v>506</v>
      </c>
      <c r="F174" s="4" t="s">
        <v>78</v>
      </c>
      <c r="G174" s="4" t="s">
        <v>107</v>
      </c>
      <c r="H174" s="4"/>
      <c r="I174" s="137"/>
      <c r="J174" s="137"/>
      <c r="K174" s="4"/>
      <c r="L174" s="4"/>
      <c r="M174" s="4"/>
      <c r="N174" s="4"/>
    </row>
    <row r="175" spans="1:14" ht="15.6">
      <c r="A175" s="139" t="s">
        <v>551</v>
      </c>
      <c r="B175" s="139" t="s">
        <v>545</v>
      </c>
      <c r="C175" s="140">
        <v>1.43</v>
      </c>
      <c r="D175" s="139" t="s">
        <v>220</v>
      </c>
      <c r="E175" s="139">
        <v>541</v>
      </c>
      <c r="F175" s="4" t="s">
        <v>78</v>
      </c>
      <c r="G175" s="4" t="s">
        <v>107</v>
      </c>
      <c r="H175" s="4"/>
      <c r="I175" s="137"/>
      <c r="J175" s="137"/>
      <c r="K175" s="4"/>
      <c r="L175" s="4"/>
      <c r="M175" s="4"/>
      <c r="N175" s="4"/>
    </row>
    <row r="176" spans="1:14" ht="15.6">
      <c r="A176" s="139" t="s">
        <v>552</v>
      </c>
      <c r="B176" s="139" t="s">
        <v>553</v>
      </c>
      <c r="C176" s="140">
        <v>1.27</v>
      </c>
      <c r="D176" s="139" t="s">
        <v>345</v>
      </c>
      <c r="E176" s="139">
        <v>390</v>
      </c>
      <c r="F176" s="4" t="s">
        <v>78</v>
      </c>
      <c r="G176" s="4" t="s">
        <v>152</v>
      </c>
      <c r="H176" s="4"/>
      <c r="I176" s="137"/>
      <c r="J176" s="4"/>
      <c r="K176" s="4"/>
      <c r="L176" s="4"/>
      <c r="M176" s="4"/>
      <c r="N176" s="4"/>
    </row>
    <row r="177" spans="1:14" ht="15.6">
      <c r="A177" s="139" t="s">
        <v>554</v>
      </c>
      <c r="B177" s="139" t="s">
        <v>555</v>
      </c>
      <c r="C177" s="140">
        <v>1.39</v>
      </c>
      <c r="D177" s="139" t="s">
        <v>351</v>
      </c>
      <c r="E177" s="139">
        <v>458</v>
      </c>
      <c r="F177" s="4" t="s">
        <v>78</v>
      </c>
      <c r="G177" s="4" t="s">
        <v>152</v>
      </c>
      <c r="H177" s="4"/>
      <c r="I177" s="137"/>
      <c r="J177" s="4"/>
      <c r="K177" s="4"/>
      <c r="L177" s="4"/>
      <c r="M177" s="4"/>
      <c r="N177" s="4"/>
    </row>
    <row r="178" spans="1:14" ht="15.6">
      <c r="A178" s="139" t="s">
        <v>556</v>
      </c>
      <c r="B178" s="139" t="s">
        <v>557</v>
      </c>
      <c r="C178" s="140">
        <v>1.46</v>
      </c>
      <c r="D178" s="139" t="s">
        <v>354</v>
      </c>
      <c r="E178" s="139">
        <v>486</v>
      </c>
      <c r="F178" s="4" t="s">
        <v>78</v>
      </c>
      <c r="G178" s="4" t="s">
        <v>152</v>
      </c>
      <c r="H178" s="4"/>
      <c r="I178" s="137"/>
      <c r="J178" s="4"/>
      <c r="K178" s="4"/>
      <c r="L178" s="4"/>
      <c r="M178" s="4"/>
      <c r="N178" s="4"/>
    </row>
    <row r="179" spans="1:14" ht="15.6">
      <c r="A179" s="139" t="s">
        <v>558</v>
      </c>
      <c r="B179" s="139" t="s">
        <v>559</v>
      </c>
      <c r="C179" s="140">
        <v>1.52</v>
      </c>
      <c r="D179" s="139" t="s">
        <v>560</v>
      </c>
      <c r="E179" s="139">
        <v>506</v>
      </c>
      <c r="F179" s="4" t="s">
        <v>78</v>
      </c>
      <c r="G179" s="4" t="s">
        <v>152</v>
      </c>
      <c r="H179" s="4"/>
      <c r="I179" s="137"/>
      <c r="J179" s="137"/>
      <c r="K179" s="4"/>
      <c r="L179" s="4"/>
      <c r="M179" s="4"/>
      <c r="N179" s="4"/>
    </row>
    <row r="180" spans="1:14" ht="15.6">
      <c r="A180" s="139" t="s">
        <v>561</v>
      </c>
      <c r="B180" s="139" t="s">
        <v>562</v>
      </c>
      <c r="C180" s="140">
        <v>1.3</v>
      </c>
      <c r="D180" s="139" t="s">
        <v>387</v>
      </c>
      <c r="E180" s="139">
        <v>455</v>
      </c>
      <c r="F180" s="4" t="s">
        <v>78</v>
      </c>
      <c r="G180" s="4" t="s">
        <v>121</v>
      </c>
      <c r="H180" s="4"/>
      <c r="I180" s="137"/>
      <c r="J180" s="137"/>
      <c r="K180" s="4"/>
      <c r="L180" s="4"/>
      <c r="M180" s="4"/>
      <c r="N180" s="4"/>
    </row>
    <row r="181" spans="1:14" ht="15.6">
      <c r="A181" s="139" t="s">
        <v>563</v>
      </c>
      <c r="B181" s="139" t="s">
        <v>564</v>
      </c>
      <c r="C181" s="140">
        <v>1.1599999999999999</v>
      </c>
      <c r="D181" s="139" t="s">
        <v>384</v>
      </c>
      <c r="E181" s="139">
        <v>395</v>
      </c>
      <c r="F181" s="4" t="s">
        <v>78</v>
      </c>
      <c r="G181" s="4" t="s">
        <v>121</v>
      </c>
      <c r="H181" s="4"/>
      <c r="I181" s="137"/>
      <c r="J181" s="137"/>
      <c r="K181" s="4"/>
      <c r="L181" s="4"/>
      <c r="M181" s="4"/>
      <c r="N181" s="4"/>
    </row>
    <row r="182" spans="1:14" ht="15.6">
      <c r="A182" s="139" t="s">
        <v>565</v>
      </c>
      <c r="B182" s="139" t="s">
        <v>566</v>
      </c>
      <c r="C182" s="140">
        <v>1.34</v>
      </c>
      <c r="D182" s="139" t="s">
        <v>390</v>
      </c>
      <c r="E182" s="139">
        <v>475</v>
      </c>
      <c r="F182" s="4" t="s">
        <v>78</v>
      </c>
      <c r="G182" s="4" t="s">
        <v>121</v>
      </c>
      <c r="H182" s="4"/>
      <c r="I182" s="137"/>
      <c r="J182" s="137"/>
      <c r="K182" s="4"/>
      <c r="L182" s="4"/>
      <c r="M182" s="4"/>
      <c r="N182" s="4"/>
    </row>
    <row r="183" spans="1:14" ht="15.6">
      <c r="A183" s="139" t="s">
        <v>567</v>
      </c>
      <c r="B183" s="139" t="s">
        <v>568</v>
      </c>
      <c r="C183" s="140">
        <v>1.48</v>
      </c>
      <c r="D183" s="139" t="s">
        <v>372</v>
      </c>
      <c r="E183" s="139">
        <v>530</v>
      </c>
      <c r="F183" s="4" t="s">
        <v>78</v>
      </c>
      <c r="G183" s="4" t="s">
        <v>121</v>
      </c>
      <c r="H183" s="4"/>
      <c r="I183" s="137"/>
      <c r="J183" s="137"/>
      <c r="K183" s="4"/>
      <c r="L183" s="4"/>
      <c r="M183" s="4"/>
      <c r="N183" s="4"/>
    </row>
    <row r="184" spans="1:14" ht="15.6">
      <c r="A184" s="139" t="s">
        <v>569</v>
      </c>
      <c r="B184" s="139" t="s">
        <v>570</v>
      </c>
      <c r="C184" s="140">
        <v>1.7</v>
      </c>
      <c r="D184" s="139" t="s">
        <v>571</v>
      </c>
      <c r="E184" s="139">
        <v>400</v>
      </c>
      <c r="F184" s="4" t="s">
        <v>78</v>
      </c>
      <c r="G184" s="4" t="s">
        <v>278</v>
      </c>
      <c r="H184" s="4"/>
      <c r="I184" s="137"/>
      <c r="J184" s="4"/>
      <c r="K184" s="4"/>
      <c r="L184" s="4"/>
      <c r="M184" s="4"/>
      <c r="N184" s="4"/>
    </row>
    <row r="185" spans="1:14" ht="15.6">
      <c r="A185" s="139" t="s">
        <v>572</v>
      </c>
      <c r="B185" s="139" t="s">
        <v>573</v>
      </c>
      <c r="C185" s="140">
        <v>1.42</v>
      </c>
      <c r="D185" s="139" t="s">
        <v>418</v>
      </c>
      <c r="E185" s="139">
        <v>440</v>
      </c>
      <c r="F185" s="4" t="s">
        <v>78</v>
      </c>
      <c r="G185" s="4" t="s">
        <v>107</v>
      </c>
      <c r="H185" s="4"/>
      <c r="I185" s="137"/>
      <c r="J185" s="137"/>
      <c r="K185" s="4"/>
      <c r="L185" s="4"/>
      <c r="M185" s="4"/>
      <c r="N185" s="4"/>
    </row>
    <row r="186" spans="1:14" ht="15.6">
      <c r="A186" s="139" t="s">
        <v>574</v>
      </c>
      <c r="B186" s="139" t="s">
        <v>573</v>
      </c>
      <c r="C186" s="140">
        <v>1.65</v>
      </c>
      <c r="D186" s="139" t="s">
        <v>575</v>
      </c>
      <c r="E186" s="139">
        <v>511</v>
      </c>
      <c r="F186" s="4" t="s">
        <v>78</v>
      </c>
      <c r="G186" s="4" t="s">
        <v>107</v>
      </c>
      <c r="H186" s="4"/>
      <c r="I186" s="137"/>
      <c r="J186" s="137"/>
      <c r="K186" s="4"/>
      <c r="L186" s="4"/>
      <c r="M186" s="4"/>
      <c r="N186" s="4"/>
    </row>
    <row r="187" spans="1:14" ht="15.6">
      <c r="A187" s="139" t="s">
        <v>576</v>
      </c>
      <c r="B187" s="139" t="s">
        <v>577</v>
      </c>
      <c r="C187" s="140">
        <v>2</v>
      </c>
      <c r="D187" s="139" t="s">
        <v>106</v>
      </c>
      <c r="E187" s="139">
        <v>452</v>
      </c>
      <c r="F187" s="4" t="s">
        <v>76</v>
      </c>
      <c r="G187" s="4" t="s">
        <v>107</v>
      </c>
      <c r="H187" s="4"/>
      <c r="I187" s="137"/>
      <c r="J187" s="4"/>
      <c r="K187" s="4"/>
      <c r="L187" s="4"/>
      <c r="M187" s="4"/>
      <c r="N187" s="4"/>
    </row>
    <row r="188" spans="1:14" ht="15.6">
      <c r="A188" s="139" t="s">
        <v>578</v>
      </c>
      <c r="B188" s="139" t="s">
        <v>579</v>
      </c>
      <c r="C188" s="140">
        <v>1.6</v>
      </c>
      <c r="D188" s="139" t="s">
        <v>580</v>
      </c>
      <c r="E188" s="139">
        <v>407</v>
      </c>
      <c r="F188" s="4" t="s">
        <v>76</v>
      </c>
      <c r="G188" s="4" t="s">
        <v>107</v>
      </c>
      <c r="H188" s="4"/>
      <c r="I188" s="137"/>
      <c r="J188" s="137"/>
      <c r="K188" s="4"/>
      <c r="L188" s="4"/>
      <c r="M188" s="4"/>
      <c r="N188" s="4"/>
    </row>
    <row r="189" spans="1:14" ht="15.6">
      <c r="A189" s="139" t="s">
        <v>581</v>
      </c>
      <c r="B189" s="139" t="s">
        <v>582</v>
      </c>
      <c r="C189" s="140">
        <v>1.06</v>
      </c>
      <c r="D189" s="139" t="s">
        <v>120</v>
      </c>
      <c r="E189" s="139">
        <v>385</v>
      </c>
      <c r="F189" s="4" t="s">
        <v>76</v>
      </c>
      <c r="G189" s="4" t="s">
        <v>121</v>
      </c>
      <c r="H189" s="4"/>
      <c r="I189" s="137"/>
      <c r="J189" s="137"/>
      <c r="K189" s="4"/>
      <c r="L189" s="4"/>
      <c r="M189" s="4"/>
      <c r="N189" s="4"/>
    </row>
    <row r="190" spans="1:14" ht="15.6">
      <c r="A190" s="139" t="s">
        <v>583</v>
      </c>
      <c r="B190" s="139" t="s">
        <v>584</v>
      </c>
      <c r="C190" s="140">
        <v>1.35</v>
      </c>
      <c r="D190" s="139" t="s">
        <v>585</v>
      </c>
      <c r="E190" s="139">
        <v>390</v>
      </c>
      <c r="F190" s="4" t="s">
        <v>76</v>
      </c>
      <c r="G190" s="4" t="s">
        <v>114</v>
      </c>
      <c r="H190" s="4"/>
      <c r="I190" s="137"/>
      <c r="J190" s="137"/>
      <c r="K190" s="4"/>
      <c r="L190" s="4"/>
      <c r="M190" s="4"/>
      <c r="N190" s="4"/>
    </row>
    <row r="191" spans="1:14" ht="15.6">
      <c r="A191" s="139" t="s">
        <v>586</v>
      </c>
      <c r="B191" s="139" t="s">
        <v>587</v>
      </c>
      <c r="C191" s="140">
        <v>0.91</v>
      </c>
      <c r="D191" s="139" t="s">
        <v>588</v>
      </c>
      <c r="E191" s="139">
        <v>325</v>
      </c>
      <c r="F191" s="4" t="s">
        <v>76</v>
      </c>
      <c r="G191" s="4" t="s">
        <v>114</v>
      </c>
      <c r="H191" s="4"/>
      <c r="I191" s="137"/>
      <c r="J191" s="137"/>
      <c r="K191" s="4"/>
      <c r="L191" s="4"/>
      <c r="M191" s="4"/>
      <c r="N191" s="4"/>
    </row>
    <row r="192" spans="1:14" ht="15.6">
      <c r="A192" s="139" t="s">
        <v>589</v>
      </c>
      <c r="B192" s="139" t="s">
        <v>590</v>
      </c>
      <c r="C192" s="140">
        <v>1.01</v>
      </c>
      <c r="D192" s="139" t="s">
        <v>591</v>
      </c>
      <c r="E192" s="139">
        <v>350</v>
      </c>
      <c r="F192" s="4" t="s">
        <v>76</v>
      </c>
      <c r="G192" s="4" t="s">
        <v>114</v>
      </c>
      <c r="H192" s="4"/>
      <c r="I192" s="137"/>
      <c r="J192" s="4"/>
      <c r="K192" s="4"/>
      <c r="L192" s="4"/>
      <c r="M192" s="4"/>
      <c r="N192" s="4"/>
    </row>
    <row r="193" spans="1:14" ht="15.6">
      <c r="A193" s="139" t="s">
        <v>592</v>
      </c>
      <c r="B193" s="139" t="s">
        <v>593</v>
      </c>
      <c r="C193" s="140">
        <v>0.92</v>
      </c>
      <c r="D193" s="139" t="s">
        <v>594</v>
      </c>
      <c r="E193" s="139">
        <v>345</v>
      </c>
      <c r="F193" s="4" t="s">
        <v>76</v>
      </c>
      <c r="G193" s="4" t="s">
        <v>114</v>
      </c>
      <c r="H193" s="4"/>
      <c r="I193" s="137"/>
      <c r="J193" s="4"/>
      <c r="K193" s="4"/>
      <c r="L193" s="4"/>
      <c r="M193" s="4"/>
      <c r="N193" s="4"/>
    </row>
    <row r="194" spans="1:14" ht="15.6">
      <c r="A194" s="139" t="s">
        <v>595</v>
      </c>
      <c r="B194" s="139" t="s">
        <v>596</v>
      </c>
      <c r="C194" s="140">
        <v>0.97</v>
      </c>
      <c r="D194" s="139" t="s">
        <v>202</v>
      </c>
      <c r="E194" s="139">
        <v>370</v>
      </c>
      <c r="F194" s="4" t="s">
        <v>76</v>
      </c>
      <c r="G194" s="4" t="s">
        <v>114</v>
      </c>
      <c r="H194" s="4"/>
      <c r="I194" s="137"/>
      <c r="J194" s="137"/>
      <c r="K194" s="4"/>
      <c r="L194" s="4"/>
      <c r="M194" s="4"/>
      <c r="N194" s="4"/>
    </row>
    <row r="195" spans="1:14" ht="15.6">
      <c r="A195" s="139" t="s">
        <v>597</v>
      </c>
      <c r="B195" s="139" t="s">
        <v>598</v>
      </c>
      <c r="C195" s="140">
        <v>0.85</v>
      </c>
      <c r="D195" s="139" t="s">
        <v>160</v>
      </c>
      <c r="E195" s="139">
        <v>293</v>
      </c>
      <c r="F195" s="4" t="s">
        <v>76</v>
      </c>
      <c r="G195" s="4" t="s">
        <v>152</v>
      </c>
      <c r="H195" s="4"/>
      <c r="I195" s="137"/>
      <c r="J195" s="137"/>
      <c r="K195" s="4"/>
      <c r="L195" s="4"/>
      <c r="M195" s="4"/>
      <c r="N195" s="4"/>
    </row>
    <row r="196" spans="1:14" ht="15.6">
      <c r="A196" s="139" t="s">
        <v>599</v>
      </c>
      <c r="B196" s="139" t="s">
        <v>600</v>
      </c>
      <c r="C196" s="140">
        <v>0.92</v>
      </c>
      <c r="D196" s="139" t="s">
        <v>166</v>
      </c>
      <c r="E196" s="139">
        <v>338</v>
      </c>
      <c r="F196" s="4" t="s">
        <v>76</v>
      </c>
      <c r="G196" s="4" t="s">
        <v>152</v>
      </c>
      <c r="H196" s="4"/>
      <c r="I196" s="137"/>
      <c r="J196" s="137"/>
      <c r="K196" s="4"/>
      <c r="L196" s="4"/>
      <c r="M196" s="4"/>
      <c r="N196" s="4"/>
    </row>
    <row r="197" spans="1:14" ht="15.6">
      <c r="A197" s="139" t="s">
        <v>601</v>
      </c>
      <c r="B197" s="139" t="s">
        <v>602</v>
      </c>
      <c r="C197" s="140">
        <v>0.99</v>
      </c>
      <c r="D197" s="139" t="s">
        <v>172</v>
      </c>
      <c r="E197" s="139">
        <v>378</v>
      </c>
      <c r="F197" s="4" t="s">
        <v>76</v>
      </c>
      <c r="G197" s="4" t="s">
        <v>152</v>
      </c>
      <c r="H197" s="4"/>
      <c r="I197" s="137"/>
      <c r="J197" s="137"/>
      <c r="K197" s="4"/>
      <c r="L197" s="4"/>
      <c r="M197" s="4"/>
      <c r="N197" s="4"/>
    </row>
    <row r="198" spans="1:14" ht="15.6">
      <c r="A198" s="139" t="s">
        <v>603</v>
      </c>
      <c r="B198" s="139" t="s">
        <v>604</v>
      </c>
      <c r="C198" s="140">
        <v>1.1100000000000001</v>
      </c>
      <c r="D198" s="139" t="s">
        <v>178</v>
      </c>
      <c r="E198" s="139">
        <v>418</v>
      </c>
      <c r="F198" s="4" t="s">
        <v>76</v>
      </c>
      <c r="G198" s="4" t="s">
        <v>152</v>
      </c>
      <c r="H198" s="4"/>
      <c r="I198" s="137"/>
      <c r="J198" s="4"/>
      <c r="K198" s="4"/>
      <c r="L198" s="4"/>
      <c r="M198" s="4"/>
      <c r="N198" s="4"/>
    </row>
    <row r="199" spans="1:14" ht="15.6">
      <c r="A199" s="139" t="s">
        <v>605</v>
      </c>
      <c r="B199" s="139" t="s">
        <v>606</v>
      </c>
      <c r="C199" s="140">
        <v>0.97</v>
      </c>
      <c r="D199" s="139" t="s">
        <v>607</v>
      </c>
      <c r="E199" s="139">
        <v>366</v>
      </c>
      <c r="F199" s="4" t="s">
        <v>76</v>
      </c>
      <c r="G199" s="4" t="s">
        <v>152</v>
      </c>
      <c r="H199" s="4"/>
      <c r="I199" s="137"/>
      <c r="J199" s="137"/>
      <c r="K199" s="4"/>
      <c r="L199" s="4"/>
      <c r="M199" s="4"/>
      <c r="N199" s="4"/>
    </row>
    <row r="200" spans="1:14" ht="15.6">
      <c r="A200" s="139" t="s">
        <v>608</v>
      </c>
      <c r="B200" s="139" t="s">
        <v>609</v>
      </c>
      <c r="C200" s="140">
        <v>0.86</v>
      </c>
      <c r="D200" s="139" t="s">
        <v>239</v>
      </c>
      <c r="E200" s="139">
        <v>320</v>
      </c>
      <c r="F200" s="4" t="s">
        <v>76</v>
      </c>
      <c r="G200" s="4" t="s">
        <v>121</v>
      </c>
      <c r="H200" s="4"/>
      <c r="I200" s="137"/>
      <c r="J200" s="137"/>
      <c r="K200" s="4"/>
      <c r="L200" s="4"/>
      <c r="M200" s="4"/>
      <c r="N200" s="4"/>
    </row>
    <row r="201" spans="1:14" ht="15.6">
      <c r="A201" s="139" t="s">
        <v>610</v>
      </c>
      <c r="B201" s="139" t="s">
        <v>611</v>
      </c>
      <c r="C201" s="140">
        <v>0.9</v>
      </c>
      <c r="D201" s="139" t="s">
        <v>242</v>
      </c>
      <c r="E201" s="139">
        <v>340</v>
      </c>
      <c r="F201" s="4" t="s">
        <v>76</v>
      </c>
      <c r="G201" s="4" t="s">
        <v>121</v>
      </c>
      <c r="H201" s="4"/>
      <c r="I201" s="137"/>
      <c r="J201" s="137"/>
      <c r="K201" s="4"/>
      <c r="L201" s="4"/>
      <c r="M201" s="4"/>
      <c r="N201" s="4"/>
    </row>
    <row r="202" spans="1:14" ht="15.6">
      <c r="A202" s="139" t="s">
        <v>612</v>
      </c>
      <c r="B202" s="139" t="s">
        <v>613</v>
      </c>
      <c r="C202" s="140">
        <v>0.98</v>
      </c>
      <c r="D202" s="139" t="s">
        <v>251</v>
      </c>
      <c r="E202" s="139">
        <v>380</v>
      </c>
      <c r="F202" s="4" t="s">
        <v>76</v>
      </c>
      <c r="G202" s="4" t="s">
        <v>121</v>
      </c>
      <c r="H202" s="4"/>
      <c r="I202" s="137"/>
      <c r="J202" s="137"/>
      <c r="K202" s="4"/>
      <c r="L202" s="4"/>
      <c r="M202" s="4"/>
      <c r="N202" s="4"/>
    </row>
    <row r="203" spans="1:14" ht="15.6">
      <c r="A203" s="139" t="s">
        <v>614</v>
      </c>
      <c r="B203" s="139" t="s">
        <v>615</v>
      </c>
      <c r="C203" s="140">
        <v>0.83</v>
      </c>
      <c r="D203" s="139" t="s">
        <v>226</v>
      </c>
      <c r="E203" s="139">
        <v>295</v>
      </c>
      <c r="F203" s="4" t="s">
        <v>76</v>
      </c>
      <c r="G203" s="4" t="s">
        <v>121</v>
      </c>
      <c r="H203" s="4"/>
      <c r="I203" s="137"/>
      <c r="J203" s="137"/>
      <c r="K203" s="4"/>
      <c r="L203" s="4"/>
      <c r="M203" s="4"/>
      <c r="N203" s="4"/>
    </row>
    <row r="204" spans="1:14" ht="15.6">
      <c r="A204" s="139" t="s">
        <v>616</v>
      </c>
      <c r="B204" s="139" t="s">
        <v>617</v>
      </c>
      <c r="C204" s="140">
        <v>1.25</v>
      </c>
      <c r="D204" s="139" t="s">
        <v>242</v>
      </c>
      <c r="E204" s="139">
        <v>330</v>
      </c>
      <c r="F204" s="4" t="s">
        <v>76</v>
      </c>
      <c r="G204" s="4" t="s">
        <v>278</v>
      </c>
      <c r="H204" s="4"/>
      <c r="I204" s="137"/>
      <c r="J204" s="137"/>
      <c r="K204" s="4"/>
      <c r="L204" s="4"/>
      <c r="M204" s="4"/>
      <c r="N204" s="4"/>
    </row>
    <row r="205" spans="1:14" ht="15.6">
      <c r="A205" s="139" t="s">
        <v>618</v>
      </c>
      <c r="B205" s="139" t="s">
        <v>619</v>
      </c>
      <c r="C205" s="140">
        <v>1.4</v>
      </c>
      <c r="D205" s="139" t="s">
        <v>251</v>
      </c>
      <c r="E205" s="139">
        <v>380</v>
      </c>
      <c r="F205" s="4" t="s">
        <v>76</v>
      </c>
      <c r="G205" s="4" t="s">
        <v>278</v>
      </c>
      <c r="H205" s="4"/>
      <c r="I205" s="137"/>
      <c r="J205" s="137"/>
      <c r="K205" s="4"/>
      <c r="L205" s="4"/>
      <c r="M205" s="4"/>
      <c r="N205" s="4"/>
    </row>
    <row r="206" spans="1:14" ht="15.6">
      <c r="A206" s="139" t="s">
        <v>620</v>
      </c>
      <c r="B206" s="139" t="s">
        <v>621</v>
      </c>
      <c r="C206" s="140">
        <v>1.66</v>
      </c>
      <c r="D206" s="139" t="s">
        <v>288</v>
      </c>
      <c r="E206" s="139">
        <v>460</v>
      </c>
      <c r="F206" s="4" t="s">
        <v>76</v>
      </c>
      <c r="G206" s="4" t="s">
        <v>278</v>
      </c>
      <c r="H206" s="4"/>
      <c r="I206" s="137"/>
      <c r="J206" s="137"/>
      <c r="K206" s="4"/>
      <c r="L206" s="4"/>
      <c r="M206" s="4"/>
      <c r="N206" s="4"/>
    </row>
    <row r="207" spans="1:14" ht="15.6">
      <c r="A207" s="139" t="s">
        <v>622</v>
      </c>
      <c r="B207" s="139" t="s">
        <v>623</v>
      </c>
      <c r="C207" s="140">
        <v>0.9</v>
      </c>
      <c r="D207" s="139" t="s">
        <v>242</v>
      </c>
      <c r="E207" s="139">
        <v>337</v>
      </c>
      <c r="F207" s="4" t="s">
        <v>76</v>
      </c>
      <c r="G207" s="4" t="s">
        <v>107</v>
      </c>
      <c r="H207" s="4"/>
      <c r="I207" s="137"/>
      <c r="J207" s="137"/>
      <c r="K207" s="4"/>
      <c r="L207" s="4"/>
      <c r="M207" s="4"/>
      <c r="N207" s="4"/>
    </row>
    <row r="208" spans="1:14" ht="15.6">
      <c r="A208" s="139" t="s">
        <v>624</v>
      </c>
      <c r="B208" s="139" t="s">
        <v>623</v>
      </c>
      <c r="C208" s="140">
        <v>0.95</v>
      </c>
      <c r="D208" s="139" t="s">
        <v>248</v>
      </c>
      <c r="E208" s="139">
        <v>357</v>
      </c>
      <c r="F208" s="4" t="s">
        <v>76</v>
      </c>
      <c r="G208" s="4" t="s">
        <v>107</v>
      </c>
      <c r="H208" s="4"/>
      <c r="I208" s="137"/>
      <c r="J208" s="137"/>
      <c r="K208" s="4"/>
      <c r="L208" s="4"/>
      <c r="M208" s="4"/>
      <c r="N208" s="4"/>
    </row>
    <row r="209" spans="1:14" ht="15.6">
      <c r="A209" s="139" t="s">
        <v>625</v>
      </c>
      <c r="B209" s="139" t="s">
        <v>623</v>
      </c>
      <c r="C209" s="140">
        <v>0.99</v>
      </c>
      <c r="D209" s="139" t="s">
        <v>251</v>
      </c>
      <c r="E209" s="139">
        <v>377</v>
      </c>
      <c r="F209" s="4" t="s">
        <v>76</v>
      </c>
      <c r="G209" s="4" t="s">
        <v>107</v>
      </c>
      <c r="H209" s="4"/>
      <c r="I209" s="137"/>
      <c r="J209" s="137"/>
      <c r="K209" s="4"/>
      <c r="L209" s="4"/>
      <c r="M209" s="4"/>
      <c r="N209" s="4"/>
    </row>
    <row r="210" spans="1:14" ht="15.6">
      <c r="A210" s="139" t="s">
        <v>626</v>
      </c>
      <c r="B210" s="139" t="s">
        <v>627</v>
      </c>
      <c r="C210" s="140">
        <v>1.57</v>
      </c>
      <c r="D210" s="139" t="s">
        <v>628</v>
      </c>
      <c r="E210" s="139">
        <v>415</v>
      </c>
      <c r="F210" s="4" t="s">
        <v>76</v>
      </c>
      <c r="G210" s="4" t="s">
        <v>114</v>
      </c>
      <c r="H210" s="4"/>
      <c r="I210" s="137"/>
      <c r="J210" s="137"/>
      <c r="K210" s="4"/>
      <c r="L210" s="4"/>
      <c r="M210" s="4"/>
      <c r="N210" s="4"/>
    </row>
    <row r="211" spans="1:14" ht="15.6">
      <c r="A211" s="139" t="s">
        <v>629</v>
      </c>
      <c r="B211" s="139" t="s">
        <v>630</v>
      </c>
      <c r="C211" s="140">
        <v>1.8</v>
      </c>
      <c r="D211" s="139" t="s">
        <v>631</v>
      </c>
      <c r="E211" s="139">
        <v>432</v>
      </c>
      <c r="F211" s="4" t="s">
        <v>76</v>
      </c>
      <c r="G211" s="4" t="s">
        <v>114</v>
      </c>
      <c r="H211" s="4"/>
      <c r="I211" s="137"/>
      <c r="J211" s="137"/>
      <c r="K211" s="4"/>
      <c r="L211" s="4"/>
      <c r="M211" s="4"/>
      <c r="N211" s="4"/>
    </row>
    <row r="212" spans="1:14" ht="15.6">
      <c r="A212" s="139" t="s">
        <v>632</v>
      </c>
      <c r="B212" s="139" t="s">
        <v>633</v>
      </c>
      <c r="C212" s="140">
        <v>1.76</v>
      </c>
      <c r="D212" s="139" t="s">
        <v>634</v>
      </c>
      <c r="E212" s="139">
        <v>435</v>
      </c>
      <c r="F212" s="4" t="s">
        <v>76</v>
      </c>
      <c r="G212" s="4" t="s">
        <v>121</v>
      </c>
      <c r="H212" s="4"/>
      <c r="I212" s="137"/>
      <c r="J212" s="137"/>
      <c r="K212" s="4"/>
      <c r="L212" s="4"/>
      <c r="M212" s="4"/>
      <c r="N212" s="4"/>
    </row>
    <row r="213" spans="1:14" ht="15.6">
      <c r="A213" s="139" t="s">
        <v>635</v>
      </c>
      <c r="B213" s="139" t="s">
        <v>636</v>
      </c>
      <c r="C213" s="140">
        <v>1.1299999999999999</v>
      </c>
      <c r="D213" s="139" t="s">
        <v>384</v>
      </c>
      <c r="E213" s="139">
        <v>385</v>
      </c>
      <c r="F213" s="4" t="s">
        <v>76</v>
      </c>
      <c r="G213" s="4" t="s">
        <v>121</v>
      </c>
      <c r="H213" s="4"/>
      <c r="I213" s="137"/>
      <c r="J213" s="137"/>
      <c r="K213" s="4"/>
      <c r="L213" s="4"/>
      <c r="M213" s="4"/>
      <c r="N213" s="4"/>
    </row>
    <row r="214" spans="1:14" ht="15.6">
      <c r="A214" s="139" t="s">
        <v>637</v>
      </c>
      <c r="B214" s="139" t="s">
        <v>638</v>
      </c>
      <c r="C214" s="140">
        <v>1.04</v>
      </c>
      <c r="D214" s="139" t="s">
        <v>639</v>
      </c>
      <c r="E214" s="139">
        <v>305</v>
      </c>
      <c r="F214" s="4" t="s">
        <v>76</v>
      </c>
      <c r="G214" s="4" t="s">
        <v>114</v>
      </c>
      <c r="H214" s="4"/>
      <c r="I214" s="137"/>
      <c r="J214" s="137"/>
      <c r="K214" s="4"/>
      <c r="L214" s="4"/>
      <c r="M214" s="4"/>
      <c r="N214" s="4"/>
    </row>
    <row r="215" spans="1:14" ht="15.6">
      <c r="A215" s="139" t="s">
        <v>640</v>
      </c>
      <c r="B215" s="139" t="s">
        <v>641</v>
      </c>
      <c r="C215" s="140">
        <v>1.1399999999999999</v>
      </c>
      <c r="D215" s="139" t="s">
        <v>642</v>
      </c>
      <c r="E215" s="139">
        <v>366</v>
      </c>
      <c r="F215" s="4" t="s">
        <v>76</v>
      </c>
      <c r="G215" s="4" t="s">
        <v>152</v>
      </c>
      <c r="H215" s="4"/>
      <c r="I215" s="137"/>
      <c r="J215" s="137"/>
      <c r="K215" s="4"/>
      <c r="L215" s="4"/>
      <c r="M215" s="4"/>
      <c r="N215" s="4"/>
    </row>
    <row r="216" spans="1:14" ht="15.6">
      <c r="A216" s="139" t="s">
        <v>643</v>
      </c>
      <c r="B216" s="139" t="s">
        <v>644</v>
      </c>
      <c r="C216" s="140">
        <v>1.1499999999999999</v>
      </c>
      <c r="D216" s="139" t="s">
        <v>645</v>
      </c>
      <c r="E216" s="139">
        <v>365</v>
      </c>
      <c r="F216" s="4" t="s">
        <v>76</v>
      </c>
      <c r="G216" s="4" t="s">
        <v>114</v>
      </c>
      <c r="H216" s="4"/>
      <c r="I216" s="137"/>
      <c r="J216" s="137"/>
      <c r="K216" s="4"/>
      <c r="L216" s="4"/>
      <c r="M216" s="4"/>
      <c r="N216" s="4"/>
    </row>
    <row r="217" spans="1:14" ht="15.6">
      <c r="A217" s="139" t="s">
        <v>646</v>
      </c>
      <c r="B217" s="139" t="s">
        <v>647</v>
      </c>
      <c r="C217" s="140">
        <v>1.1599999999999999</v>
      </c>
      <c r="D217" s="139" t="s">
        <v>339</v>
      </c>
      <c r="E217" s="139">
        <v>336</v>
      </c>
      <c r="F217" s="4" t="s">
        <v>76</v>
      </c>
      <c r="G217" s="4" t="s">
        <v>152</v>
      </c>
      <c r="H217" s="4"/>
      <c r="I217" s="137"/>
      <c r="J217" s="137"/>
      <c r="K217" s="4"/>
      <c r="L217" s="4"/>
      <c r="M217" s="4"/>
      <c r="N217" s="4"/>
    </row>
    <row r="218" spans="1:14" ht="15.6">
      <c r="A218" s="139" t="s">
        <v>648</v>
      </c>
      <c r="B218" s="139" t="s">
        <v>649</v>
      </c>
      <c r="C218" s="140">
        <v>1.1100000000000001</v>
      </c>
      <c r="D218" s="139" t="s">
        <v>342</v>
      </c>
      <c r="E218" s="139">
        <v>358</v>
      </c>
      <c r="F218" s="4" t="s">
        <v>76</v>
      </c>
      <c r="G218" s="4" t="s">
        <v>152</v>
      </c>
      <c r="H218" s="4"/>
      <c r="I218" s="137"/>
      <c r="J218" s="137"/>
      <c r="K218" s="4"/>
      <c r="L218" s="4"/>
      <c r="M218" s="4"/>
      <c r="N218" s="4"/>
    </row>
    <row r="219" spans="1:14" ht="15.6">
      <c r="A219" s="139" t="s">
        <v>650</v>
      </c>
      <c r="B219" s="139" t="s">
        <v>651</v>
      </c>
      <c r="C219" s="140">
        <v>1.1599999999999999</v>
      </c>
      <c r="D219" s="139" t="s">
        <v>345</v>
      </c>
      <c r="E219" s="139">
        <v>378</v>
      </c>
      <c r="F219" s="4" t="s">
        <v>76</v>
      </c>
      <c r="G219" s="4" t="s">
        <v>152</v>
      </c>
      <c r="H219" s="4"/>
      <c r="I219" s="137"/>
      <c r="J219" s="137"/>
      <c r="K219" s="4"/>
      <c r="L219" s="4"/>
      <c r="M219" s="4"/>
      <c r="N219" s="4"/>
    </row>
    <row r="220" spans="1:14" ht="15.6">
      <c r="A220" s="139" t="s">
        <v>652</v>
      </c>
      <c r="B220" s="139" t="s">
        <v>653</v>
      </c>
      <c r="C220" s="140">
        <v>1.23</v>
      </c>
      <c r="D220" s="139" t="s">
        <v>654</v>
      </c>
      <c r="E220" s="139">
        <v>398</v>
      </c>
      <c r="F220" s="4" t="s">
        <v>76</v>
      </c>
      <c r="G220" s="4" t="s">
        <v>152</v>
      </c>
      <c r="H220" s="4"/>
      <c r="I220" s="137"/>
      <c r="J220" s="137"/>
      <c r="K220" s="4"/>
      <c r="L220" s="4"/>
      <c r="M220" s="4"/>
      <c r="N220" s="4"/>
    </row>
    <row r="221" spans="1:14" ht="15.6">
      <c r="A221" s="139" t="s">
        <v>655</v>
      </c>
      <c r="B221" s="139" t="s">
        <v>656</v>
      </c>
      <c r="C221" s="140">
        <v>1.05</v>
      </c>
      <c r="D221" s="139" t="s">
        <v>381</v>
      </c>
      <c r="E221" s="139">
        <v>345</v>
      </c>
      <c r="F221" s="4" t="s">
        <v>76</v>
      </c>
      <c r="G221" s="4" t="s">
        <v>121</v>
      </c>
      <c r="H221" s="4"/>
      <c r="I221" s="137"/>
      <c r="J221" s="137"/>
      <c r="K221" s="4"/>
      <c r="L221" s="4"/>
      <c r="M221" s="4"/>
      <c r="N221" s="4"/>
    </row>
    <row r="222" spans="1:14" ht="15.6">
      <c r="A222" s="139" t="s">
        <v>657</v>
      </c>
      <c r="B222" s="139" t="s">
        <v>658</v>
      </c>
      <c r="C222" s="140">
        <v>1.0900000000000001</v>
      </c>
      <c r="D222" s="139" t="s">
        <v>659</v>
      </c>
      <c r="E222" s="139">
        <v>365</v>
      </c>
      <c r="F222" s="4" t="s">
        <v>76</v>
      </c>
      <c r="G222" s="4" t="s">
        <v>121</v>
      </c>
      <c r="H222" s="4"/>
      <c r="I222" s="137"/>
      <c r="J222" s="137"/>
      <c r="K222" s="4"/>
      <c r="L222" s="4"/>
      <c r="M222" s="4"/>
      <c r="N222" s="4"/>
    </row>
    <row r="223" spans="1:14" ht="15.6">
      <c r="A223" s="139" t="s">
        <v>660</v>
      </c>
      <c r="B223" s="139" t="s">
        <v>661</v>
      </c>
      <c r="C223" s="140">
        <v>1.18</v>
      </c>
      <c r="D223" s="139" t="s">
        <v>662</v>
      </c>
      <c r="E223" s="139">
        <v>400</v>
      </c>
      <c r="F223" s="4" t="s">
        <v>76</v>
      </c>
      <c r="G223" s="4" t="s">
        <v>121</v>
      </c>
      <c r="H223" s="4"/>
      <c r="I223" s="137"/>
      <c r="J223" s="137"/>
      <c r="K223" s="4"/>
      <c r="L223" s="4"/>
      <c r="M223" s="4"/>
      <c r="N223" s="4"/>
    </row>
    <row r="224" spans="1:14" ht="15.6">
      <c r="A224" s="139" t="s">
        <v>663</v>
      </c>
      <c r="B224" s="139" t="s">
        <v>664</v>
      </c>
      <c r="C224" s="140">
        <v>1.32</v>
      </c>
      <c r="D224" s="139" t="s">
        <v>665</v>
      </c>
      <c r="E224" s="139">
        <v>450</v>
      </c>
      <c r="F224" s="4" t="s">
        <v>76</v>
      </c>
      <c r="G224" s="4" t="s">
        <v>121</v>
      </c>
      <c r="H224" s="4"/>
      <c r="I224" s="137"/>
      <c r="J224" s="137"/>
      <c r="K224" s="4"/>
      <c r="L224" s="4"/>
      <c r="M224" s="4"/>
      <c r="N224" s="4"/>
    </row>
    <row r="225" spans="1:14" ht="15.6">
      <c r="A225" s="139" t="s">
        <v>666</v>
      </c>
      <c r="B225" s="139" t="s">
        <v>667</v>
      </c>
      <c r="C225" s="140">
        <v>1.42</v>
      </c>
      <c r="D225" s="139" t="s">
        <v>406</v>
      </c>
      <c r="E225" s="139">
        <v>350</v>
      </c>
      <c r="F225" s="4" t="s">
        <v>76</v>
      </c>
      <c r="G225" s="4" t="s">
        <v>278</v>
      </c>
      <c r="H225" s="4"/>
      <c r="I225" s="137"/>
      <c r="J225" s="137"/>
      <c r="K225" s="4"/>
      <c r="L225" s="4"/>
      <c r="M225" s="4"/>
      <c r="N225" s="4"/>
    </row>
    <row r="226" spans="1:14" ht="15.6">
      <c r="A226" s="139" t="s">
        <v>668</v>
      </c>
      <c r="B226" s="139" t="s">
        <v>669</v>
      </c>
      <c r="C226" s="140">
        <v>1.51</v>
      </c>
      <c r="D226" s="139" t="s">
        <v>384</v>
      </c>
      <c r="E226" s="139">
        <v>380</v>
      </c>
      <c r="F226" s="4" t="s">
        <v>76</v>
      </c>
      <c r="G226" s="4" t="s">
        <v>278</v>
      </c>
      <c r="H226" s="4"/>
      <c r="I226" s="137"/>
      <c r="J226" s="137"/>
      <c r="K226" s="4"/>
      <c r="L226" s="4"/>
      <c r="M226" s="4"/>
      <c r="N226" s="4"/>
    </row>
    <row r="227" spans="1:14" ht="15.6">
      <c r="A227" s="139" t="s">
        <v>670</v>
      </c>
      <c r="B227" s="139" t="s">
        <v>671</v>
      </c>
      <c r="C227" s="140">
        <v>1.79</v>
      </c>
      <c r="D227" s="139" t="s">
        <v>672</v>
      </c>
      <c r="E227" s="139">
        <v>460</v>
      </c>
      <c r="F227" s="4" t="s">
        <v>76</v>
      </c>
      <c r="G227" s="4" t="s">
        <v>278</v>
      </c>
      <c r="H227" s="4"/>
      <c r="I227" s="137"/>
      <c r="J227" s="137"/>
      <c r="K227" s="4"/>
      <c r="L227" s="4"/>
      <c r="M227" s="4"/>
      <c r="N227" s="4"/>
    </row>
    <row r="228" spans="1:14" ht="15.6">
      <c r="A228" s="139" t="s">
        <v>673</v>
      </c>
      <c r="B228" s="139" t="s">
        <v>674</v>
      </c>
      <c r="C228" s="140">
        <v>1.54</v>
      </c>
      <c r="D228" s="139" t="s">
        <v>675</v>
      </c>
      <c r="E228" s="139">
        <v>395</v>
      </c>
      <c r="F228" s="4" t="s">
        <v>76</v>
      </c>
      <c r="G228" s="4" t="s">
        <v>278</v>
      </c>
      <c r="H228" s="4"/>
      <c r="I228" s="137"/>
      <c r="J228" s="137"/>
      <c r="K228" s="4"/>
      <c r="L228" s="4"/>
      <c r="M228" s="4"/>
      <c r="N228" s="4"/>
    </row>
    <row r="229" spans="1:14" ht="15.6">
      <c r="A229" s="139" t="s">
        <v>676</v>
      </c>
      <c r="B229" s="139" t="s">
        <v>677</v>
      </c>
      <c r="C229" s="140">
        <v>1.1000000000000001</v>
      </c>
      <c r="D229" s="139" t="s">
        <v>678</v>
      </c>
      <c r="E229" s="139">
        <v>357</v>
      </c>
      <c r="F229" s="4" t="s">
        <v>76</v>
      </c>
      <c r="G229" s="4" t="s">
        <v>107</v>
      </c>
      <c r="H229" s="4"/>
      <c r="I229" s="137"/>
      <c r="J229" s="137"/>
      <c r="K229" s="4"/>
      <c r="L229" s="4"/>
      <c r="M229" s="4"/>
      <c r="N229" s="4"/>
    </row>
    <row r="230" spans="1:14" ht="15.6">
      <c r="A230" s="139" t="s">
        <v>679</v>
      </c>
      <c r="B230" s="139" t="s">
        <v>677</v>
      </c>
      <c r="C230" s="140">
        <v>1.1399999999999999</v>
      </c>
      <c r="D230" s="139" t="s">
        <v>416</v>
      </c>
      <c r="E230" s="139">
        <v>377</v>
      </c>
      <c r="F230" s="4" t="s">
        <v>76</v>
      </c>
      <c r="G230" s="4" t="s">
        <v>107</v>
      </c>
      <c r="H230" s="4"/>
      <c r="I230" s="137"/>
      <c r="J230" s="137"/>
      <c r="K230" s="4"/>
      <c r="L230" s="4"/>
      <c r="M230" s="4"/>
      <c r="N230" s="4"/>
    </row>
    <row r="231" spans="1:14" ht="15.6">
      <c r="A231" s="139" t="s">
        <v>680</v>
      </c>
      <c r="B231" s="139" t="s">
        <v>677</v>
      </c>
      <c r="C231" s="140">
        <v>1.24</v>
      </c>
      <c r="D231" s="139" t="s">
        <v>681</v>
      </c>
      <c r="E231" s="139">
        <v>392</v>
      </c>
      <c r="F231" s="4" t="s">
        <v>76</v>
      </c>
      <c r="G231" s="4" t="s">
        <v>107</v>
      </c>
      <c r="H231" s="4"/>
      <c r="I231" s="137"/>
      <c r="J231" s="137"/>
      <c r="K231" s="4"/>
      <c r="L231" s="4"/>
      <c r="M231" s="4"/>
      <c r="N231" s="4"/>
    </row>
    <row r="232" spans="1:14" ht="15.6">
      <c r="A232" s="139" t="s">
        <v>682</v>
      </c>
      <c r="B232" s="139" t="s">
        <v>683</v>
      </c>
      <c r="C232" s="140">
        <v>1.81</v>
      </c>
      <c r="D232" s="139" t="s">
        <v>684</v>
      </c>
      <c r="E232" s="139">
        <v>470</v>
      </c>
      <c r="F232" s="4" t="s">
        <v>76</v>
      </c>
      <c r="G232" s="4" t="s">
        <v>114</v>
      </c>
      <c r="H232" s="4"/>
      <c r="I232" s="137"/>
      <c r="J232" s="137"/>
      <c r="K232" s="4"/>
      <c r="L232" s="4"/>
      <c r="M232" s="4"/>
      <c r="N232" s="4"/>
    </row>
    <row r="233" spans="1:14" ht="15.6">
      <c r="A233" s="139" t="s">
        <v>685</v>
      </c>
      <c r="B233" s="139" t="s">
        <v>686</v>
      </c>
      <c r="C233" s="140">
        <v>1.8</v>
      </c>
      <c r="D233" s="139" t="s">
        <v>687</v>
      </c>
      <c r="E233" s="139">
        <v>443</v>
      </c>
      <c r="F233" s="4" t="s">
        <v>76</v>
      </c>
      <c r="G233" s="4" t="s">
        <v>107</v>
      </c>
      <c r="H233" s="4"/>
      <c r="I233" s="137"/>
      <c r="J233" s="137"/>
      <c r="K233" s="4"/>
      <c r="L233" s="4"/>
      <c r="M233" s="4"/>
      <c r="N233" s="4"/>
    </row>
    <row r="234" spans="1:14" ht="15.6">
      <c r="A234" s="139" t="s">
        <v>688</v>
      </c>
      <c r="B234" s="139" t="s">
        <v>689</v>
      </c>
      <c r="C234" s="140">
        <v>1.85</v>
      </c>
      <c r="D234" s="139" t="s">
        <v>438</v>
      </c>
      <c r="E234" s="139">
        <v>385</v>
      </c>
      <c r="F234" s="4" t="s">
        <v>76</v>
      </c>
      <c r="G234" s="4" t="s">
        <v>278</v>
      </c>
      <c r="H234" s="4"/>
      <c r="I234" s="137"/>
      <c r="J234" s="137"/>
      <c r="K234" s="4"/>
      <c r="L234" s="4"/>
      <c r="M234" s="4"/>
      <c r="N234" s="4"/>
    </row>
    <row r="235" spans="1:14" ht="15.6">
      <c r="A235" s="139" t="s">
        <v>688</v>
      </c>
      <c r="B235" s="139" t="s">
        <v>689</v>
      </c>
      <c r="C235" s="140">
        <v>1.65</v>
      </c>
      <c r="D235" s="139" t="s">
        <v>438</v>
      </c>
      <c r="E235" s="139">
        <v>385</v>
      </c>
      <c r="F235" s="4" t="s">
        <v>76</v>
      </c>
      <c r="G235" s="4" t="s">
        <v>278</v>
      </c>
      <c r="H235" s="4"/>
      <c r="I235" s="137"/>
      <c r="J235" s="137"/>
      <c r="K235" s="4"/>
      <c r="L235" s="4"/>
      <c r="M235" s="4"/>
      <c r="N235" s="4"/>
    </row>
    <row r="236" spans="1:14" ht="15.6">
      <c r="A236" s="139" t="s">
        <v>690</v>
      </c>
      <c r="B236" s="139" t="s">
        <v>691</v>
      </c>
      <c r="C236" s="140">
        <v>1.51</v>
      </c>
      <c r="D236" s="139" t="s">
        <v>445</v>
      </c>
      <c r="E236" s="139">
        <v>377</v>
      </c>
      <c r="F236" s="4" t="s">
        <v>76</v>
      </c>
      <c r="G236" s="4" t="s">
        <v>107</v>
      </c>
      <c r="H236" s="4"/>
      <c r="I236" s="137"/>
      <c r="J236" s="137"/>
      <c r="K236" s="4"/>
      <c r="L236" s="4"/>
      <c r="M236" s="4"/>
      <c r="N236" s="4"/>
    </row>
    <row r="237" spans="1:14" ht="15.6">
      <c r="A237" s="139" t="s">
        <v>692</v>
      </c>
      <c r="B237" s="139" t="s">
        <v>693</v>
      </c>
      <c r="C237" s="140">
        <v>1.5</v>
      </c>
      <c r="D237" s="139" t="s">
        <v>694</v>
      </c>
      <c r="E237" s="139">
        <v>380</v>
      </c>
      <c r="F237" s="4" t="s">
        <v>76</v>
      </c>
      <c r="G237" s="4" t="s">
        <v>121</v>
      </c>
      <c r="H237" s="4"/>
      <c r="I237" s="137"/>
      <c r="J237" s="137"/>
      <c r="K237" s="4"/>
      <c r="L237" s="4"/>
      <c r="M237" s="4"/>
      <c r="N237" s="4"/>
    </row>
    <row r="238" spans="1:14" ht="15.6">
      <c r="A238" s="139" t="s">
        <v>695</v>
      </c>
      <c r="B238" s="139" t="s">
        <v>696</v>
      </c>
      <c r="C238" s="140">
        <v>1.45</v>
      </c>
      <c r="D238" s="139" t="s">
        <v>697</v>
      </c>
      <c r="E238" s="139">
        <v>370</v>
      </c>
      <c r="F238" s="4" t="s">
        <v>76</v>
      </c>
      <c r="G238" s="4" t="s">
        <v>121</v>
      </c>
      <c r="H238" s="4"/>
      <c r="I238" s="137"/>
      <c r="J238" s="137"/>
      <c r="K238" s="4"/>
      <c r="L238" s="4"/>
      <c r="M238" s="4"/>
      <c r="N238" s="4"/>
    </row>
    <row r="239" spans="1:14" ht="15.6">
      <c r="A239" s="139" t="s">
        <v>698</v>
      </c>
      <c r="B239" s="139" t="s">
        <v>699</v>
      </c>
      <c r="C239" s="140">
        <v>6.26</v>
      </c>
      <c r="D239" s="139" t="s">
        <v>700</v>
      </c>
      <c r="E239" s="139">
        <v>1414</v>
      </c>
      <c r="F239" s="4" t="s">
        <v>701</v>
      </c>
      <c r="G239" s="4" t="s">
        <v>114</v>
      </c>
      <c r="H239" s="4"/>
      <c r="I239" s="137"/>
      <c r="J239" s="137"/>
      <c r="K239" s="4"/>
      <c r="L239" s="4"/>
      <c r="M239" s="4"/>
      <c r="N239" s="4"/>
    </row>
    <row r="240" spans="1:14" ht="15.6">
      <c r="A240" s="139" t="s">
        <v>702</v>
      </c>
      <c r="B240" s="139" t="s">
        <v>703</v>
      </c>
      <c r="C240" s="140">
        <v>5.19</v>
      </c>
      <c r="D240" s="139" t="s">
        <v>704</v>
      </c>
      <c r="E240" s="139">
        <v>1140</v>
      </c>
      <c r="F240" s="4" t="s">
        <v>701</v>
      </c>
      <c r="G240" s="4" t="s">
        <v>114</v>
      </c>
      <c r="H240" s="4"/>
      <c r="I240" s="137"/>
      <c r="J240" s="137"/>
      <c r="K240" s="4"/>
      <c r="L240" s="4"/>
      <c r="M240" s="4"/>
      <c r="N240" s="4"/>
    </row>
    <row r="241" spans="1:14" ht="15.6">
      <c r="A241" s="139" t="s">
        <v>705</v>
      </c>
      <c r="B241" s="139" t="s">
        <v>706</v>
      </c>
      <c r="C241" s="140">
        <v>5.85</v>
      </c>
      <c r="D241" s="139" t="s">
        <v>707</v>
      </c>
      <c r="E241" s="139">
        <v>1280</v>
      </c>
      <c r="F241" s="4" t="s">
        <v>701</v>
      </c>
      <c r="G241" s="4" t="s">
        <v>114</v>
      </c>
      <c r="H241" s="4"/>
      <c r="I241" s="137"/>
      <c r="J241" s="137"/>
      <c r="K241" s="4"/>
      <c r="L241" s="4"/>
      <c r="M241" s="4"/>
      <c r="N241" s="4"/>
    </row>
    <row r="242" spans="1:14" ht="15.6">
      <c r="A242" s="139" t="s">
        <v>708</v>
      </c>
      <c r="B242" s="139" t="s">
        <v>709</v>
      </c>
      <c r="C242" s="140">
        <v>2.52</v>
      </c>
      <c r="D242" s="139" t="s">
        <v>710</v>
      </c>
      <c r="E242" s="139">
        <v>685</v>
      </c>
      <c r="F242" s="4" t="s">
        <v>80</v>
      </c>
      <c r="G242" s="4" t="s">
        <v>114</v>
      </c>
      <c r="H242" s="4"/>
      <c r="I242" s="137"/>
      <c r="J242" s="137"/>
      <c r="K242" s="4"/>
      <c r="L242" s="4"/>
      <c r="M242" s="4"/>
      <c r="N242" s="4"/>
    </row>
    <row r="243" spans="1:14" ht="15.6">
      <c r="A243" s="139" t="s">
        <v>711</v>
      </c>
      <c r="B243" s="139" t="s">
        <v>712</v>
      </c>
      <c r="C243" s="140">
        <v>2.58</v>
      </c>
      <c r="D243" s="139" t="s">
        <v>713</v>
      </c>
      <c r="E243" s="139">
        <v>720</v>
      </c>
      <c r="F243" s="4" t="s">
        <v>80</v>
      </c>
      <c r="G243" s="4" t="s">
        <v>114</v>
      </c>
      <c r="H243" s="4"/>
      <c r="I243" s="137"/>
      <c r="J243" s="137"/>
      <c r="K243" s="4"/>
      <c r="L243" s="4"/>
      <c r="M243" s="4"/>
      <c r="N243" s="4"/>
    </row>
    <row r="244" spans="1:14" ht="15.6">
      <c r="A244" s="139" t="s">
        <v>714</v>
      </c>
      <c r="B244" s="139" t="s">
        <v>715</v>
      </c>
      <c r="C244" s="140">
        <v>2.93</v>
      </c>
      <c r="D244" s="139" t="s">
        <v>716</v>
      </c>
      <c r="E244" s="139">
        <v>820</v>
      </c>
      <c r="F244" s="4" t="s">
        <v>80</v>
      </c>
      <c r="G244" s="4" t="s">
        <v>114</v>
      </c>
      <c r="H244" s="4"/>
      <c r="I244" s="137"/>
      <c r="J244" s="137"/>
      <c r="K244" s="4"/>
      <c r="L244" s="4"/>
      <c r="M244" s="4"/>
      <c r="N244" s="4"/>
    </row>
    <row r="245" spans="1:14" ht="15.6">
      <c r="A245" s="139" t="s">
        <v>717</v>
      </c>
      <c r="B245" s="139" t="s">
        <v>718</v>
      </c>
      <c r="C245" s="140">
        <v>2.64</v>
      </c>
      <c r="D245" s="139" t="s">
        <v>719</v>
      </c>
      <c r="E245" s="139">
        <v>807</v>
      </c>
      <c r="F245" s="4" t="s">
        <v>80</v>
      </c>
      <c r="G245" s="4" t="s">
        <v>107</v>
      </c>
      <c r="H245" s="4"/>
      <c r="I245" s="137"/>
      <c r="J245" s="137"/>
      <c r="K245" s="4"/>
      <c r="L245" s="4"/>
      <c r="M245" s="4"/>
      <c r="N245" s="4"/>
    </row>
    <row r="246" spans="1:14" ht="15.6">
      <c r="A246" s="139" t="s">
        <v>720</v>
      </c>
      <c r="B246" s="139" t="s">
        <v>721</v>
      </c>
      <c r="C246" s="140">
        <v>2.0099999999999998</v>
      </c>
      <c r="D246" s="139" t="s">
        <v>722</v>
      </c>
      <c r="E246" s="139">
        <v>760</v>
      </c>
      <c r="F246" s="4" t="s">
        <v>80</v>
      </c>
      <c r="G246" s="4" t="s">
        <v>121</v>
      </c>
      <c r="H246" s="4"/>
      <c r="I246" s="137"/>
      <c r="J246" s="137"/>
      <c r="K246" s="4"/>
      <c r="L246" s="4"/>
      <c r="M246" s="4"/>
      <c r="N246" s="4"/>
    </row>
    <row r="247" spans="1:14" ht="15.6">
      <c r="A247" s="139" t="s">
        <v>723</v>
      </c>
      <c r="B247" s="139" t="s">
        <v>724</v>
      </c>
      <c r="C247" s="140">
        <v>2.25</v>
      </c>
      <c r="D247" s="139" t="s">
        <v>725</v>
      </c>
      <c r="E247" s="139">
        <v>645</v>
      </c>
      <c r="F247" s="4" t="s">
        <v>80</v>
      </c>
      <c r="G247" s="4" t="s">
        <v>114</v>
      </c>
      <c r="H247" s="4"/>
      <c r="I247" s="137"/>
      <c r="J247" s="137"/>
      <c r="K247" s="4"/>
      <c r="L247" s="4"/>
      <c r="M247" s="4"/>
      <c r="N247" s="4"/>
    </row>
    <row r="248" spans="1:14" ht="15.6">
      <c r="A248" s="139" t="s">
        <v>726</v>
      </c>
      <c r="B248" s="139" t="s">
        <v>727</v>
      </c>
      <c r="C248" s="140">
        <v>1.8</v>
      </c>
      <c r="D248" s="139" t="s">
        <v>728</v>
      </c>
      <c r="E248" s="139">
        <v>710</v>
      </c>
      <c r="F248" s="4" t="s">
        <v>80</v>
      </c>
      <c r="G248" s="4" t="s">
        <v>121</v>
      </c>
      <c r="H248" s="4"/>
      <c r="I248" s="137"/>
      <c r="J248" s="137"/>
      <c r="K248" s="4"/>
      <c r="L248" s="4"/>
      <c r="M248" s="4"/>
      <c r="N248" s="4"/>
    </row>
    <row r="249" spans="1:14" ht="15.6">
      <c r="A249" s="139" t="s">
        <v>729</v>
      </c>
      <c r="B249" s="139" t="s">
        <v>730</v>
      </c>
      <c r="C249" s="140">
        <v>3.06</v>
      </c>
      <c r="D249" s="139" t="s">
        <v>731</v>
      </c>
      <c r="E249" s="139">
        <v>850</v>
      </c>
      <c r="F249" s="4" t="s">
        <v>80</v>
      </c>
      <c r="G249" s="4" t="s">
        <v>114</v>
      </c>
      <c r="H249" s="4"/>
      <c r="I249" s="137"/>
      <c r="J249" s="137"/>
      <c r="K249" s="4"/>
      <c r="L249" s="4"/>
      <c r="M249" s="4"/>
      <c r="N249" s="4"/>
    </row>
    <row r="250" spans="1:14" ht="15.6">
      <c r="A250" s="139" t="s">
        <v>50</v>
      </c>
      <c r="B250" s="139" t="s">
        <v>732</v>
      </c>
      <c r="C250" s="140">
        <v>4.16</v>
      </c>
      <c r="D250" s="139" t="s">
        <v>704</v>
      </c>
      <c r="E250" s="139">
        <v>1090</v>
      </c>
      <c r="F250" s="4" t="s">
        <v>80</v>
      </c>
      <c r="G250" s="4" t="s">
        <v>114</v>
      </c>
      <c r="H250" s="4"/>
      <c r="I250" s="137"/>
      <c r="J250" s="137"/>
      <c r="K250" s="4"/>
      <c r="L250" s="4"/>
      <c r="M250" s="4"/>
      <c r="N250" s="4"/>
    </row>
    <row r="251" spans="1:14" ht="15.6">
      <c r="A251" s="139" t="s">
        <v>733</v>
      </c>
      <c r="B251" s="139" t="s">
        <v>734</v>
      </c>
      <c r="C251" s="140">
        <v>4.01</v>
      </c>
      <c r="D251" s="139" t="s">
        <v>735</v>
      </c>
      <c r="E251" s="139">
        <v>1060</v>
      </c>
      <c r="F251" s="4" t="s">
        <v>80</v>
      </c>
      <c r="G251" s="4" t="s">
        <v>114</v>
      </c>
      <c r="H251" s="4"/>
      <c r="I251" s="137"/>
      <c r="J251" s="137"/>
      <c r="K251" s="4"/>
      <c r="L251" s="4"/>
      <c r="M251" s="4"/>
      <c r="N251" s="4"/>
    </row>
    <row r="252" spans="1:14" ht="15.6">
      <c r="A252" s="139" t="s">
        <v>736</v>
      </c>
      <c r="B252" s="139" t="s">
        <v>737</v>
      </c>
      <c r="C252" s="140">
        <v>3.8</v>
      </c>
      <c r="D252" s="139" t="s">
        <v>738</v>
      </c>
      <c r="E252" s="139">
        <v>980</v>
      </c>
      <c r="F252" s="4" t="s">
        <v>80</v>
      </c>
      <c r="G252" s="4" t="s">
        <v>114</v>
      </c>
      <c r="H252" s="4"/>
      <c r="I252" s="137"/>
      <c r="J252" s="137"/>
      <c r="K252" s="4"/>
      <c r="L252" s="4"/>
      <c r="M252" s="4"/>
      <c r="N252" s="4"/>
    </row>
    <row r="253" spans="1:14" ht="15.6">
      <c r="A253" s="139" t="s">
        <v>739</v>
      </c>
      <c r="B253" s="139" t="s">
        <v>740</v>
      </c>
      <c r="C253" s="140">
        <v>5.5</v>
      </c>
      <c r="D253" s="139" t="s">
        <v>707</v>
      </c>
      <c r="E253" s="139">
        <v>1250</v>
      </c>
      <c r="F253" s="4" t="s">
        <v>80</v>
      </c>
      <c r="G253" s="4" t="s">
        <v>114</v>
      </c>
      <c r="H253" s="4"/>
      <c r="I253" s="137"/>
      <c r="J253" s="137"/>
      <c r="K253" s="4"/>
      <c r="L253" s="4"/>
      <c r="M253" s="4"/>
      <c r="N253" s="4"/>
    </row>
    <row r="254" spans="1:14" ht="15.6">
      <c r="A254" s="139" t="s">
        <v>741</v>
      </c>
      <c r="B254" s="139" t="s">
        <v>742</v>
      </c>
      <c r="C254" s="140">
        <v>2.4</v>
      </c>
      <c r="D254" s="139" t="s">
        <v>743</v>
      </c>
      <c r="E254" s="139">
        <v>665</v>
      </c>
      <c r="F254" s="4" t="s">
        <v>80</v>
      </c>
      <c r="G254" s="4" t="s">
        <v>114</v>
      </c>
      <c r="H254" s="4"/>
      <c r="I254" s="137"/>
      <c r="J254" s="137"/>
      <c r="K254" s="4"/>
      <c r="L254" s="4"/>
      <c r="M254" s="4"/>
      <c r="N254" s="4"/>
    </row>
    <row r="255" spans="1:14" ht="15.6">
      <c r="A255" s="139" t="s">
        <v>744</v>
      </c>
      <c r="B255" s="139" t="s">
        <v>745</v>
      </c>
      <c r="C255" s="140">
        <v>2.61</v>
      </c>
      <c r="D255" s="139" t="s">
        <v>746</v>
      </c>
      <c r="E255" s="139">
        <v>740</v>
      </c>
      <c r="F255" s="4" t="s">
        <v>80</v>
      </c>
      <c r="G255" s="4" t="s">
        <v>114</v>
      </c>
      <c r="H255" s="4"/>
      <c r="I255" s="137"/>
      <c r="J255" s="137"/>
      <c r="K255" s="4"/>
      <c r="L255" s="4"/>
      <c r="M255" s="4"/>
      <c r="N255" s="4"/>
    </row>
    <row r="256" spans="1:14" ht="15.6">
      <c r="A256" s="139" t="s">
        <v>747</v>
      </c>
      <c r="B256" s="139" t="s">
        <v>748</v>
      </c>
      <c r="C256" s="140">
        <v>1.4</v>
      </c>
      <c r="D256" s="139" t="s">
        <v>749</v>
      </c>
      <c r="E256" s="139">
        <v>517</v>
      </c>
      <c r="F256" s="4" t="s">
        <v>80</v>
      </c>
      <c r="G256" s="4" t="s">
        <v>107</v>
      </c>
      <c r="H256" s="4"/>
      <c r="I256" s="137"/>
      <c r="J256" s="137"/>
      <c r="K256" s="4"/>
      <c r="L256" s="4"/>
      <c r="M256" s="4"/>
      <c r="N256" s="4"/>
    </row>
    <row r="257" spans="1:14" ht="15.6">
      <c r="A257" s="139" t="s">
        <v>750</v>
      </c>
      <c r="B257" s="139" t="s">
        <v>748</v>
      </c>
      <c r="C257" s="140">
        <v>1.52</v>
      </c>
      <c r="D257" s="139" t="s">
        <v>751</v>
      </c>
      <c r="E257" s="139">
        <v>585</v>
      </c>
      <c r="F257" s="4" t="s">
        <v>80</v>
      </c>
      <c r="G257" s="4" t="s">
        <v>107</v>
      </c>
      <c r="H257" s="4"/>
      <c r="I257" s="137"/>
      <c r="J257" s="137"/>
      <c r="K257" s="4"/>
      <c r="L257" s="4"/>
      <c r="M257" s="4"/>
      <c r="N257" s="4"/>
    </row>
    <row r="258" spans="1:14" ht="15.6">
      <c r="A258" s="139" t="s">
        <v>752</v>
      </c>
      <c r="B258" s="139" t="s">
        <v>753</v>
      </c>
      <c r="C258" s="140">
        <v>1.52</v>
      </c>
      <c r="D258" s="139" t="s">
        <v>754</v>
      </c>
      <c r="E258" s="139">
        <v>498</v>
      </c>
      <c r="F258" s="4" t="s">
        <v>80</v>
      </c>
      <c r="G258" s="4" t="s">
        <v>152</v>
      </c>
      <c r="H258" s="4"/>
      <c r="I258" s="137"/>
      <c r="J258" s="137"/>
      <c r="K258" s="4"/>
      <c r="L258" s="4"/>
      <c r="M258" s="4"/>
      <c r="N258" s="4"/>
    </row>
    <row r="259" spans="1:14" ht="15.6">
      <c r="A259" s="139" t="s">
        <v>755</v>
      </c>
      <c r="B259" s="139" t="s">
        <v>756</v>
      </c>
      <c r="C259" s="140">
        <v>1.63</v>
      </c>
      <c r="D259" s="139" t="s">
        <v>757</v>
      </c>
      <c r="E259" s="139">
        <v>595</v>
      </c>
      <c r="F259" s="4" t="s">
        <v>80</v>
      </c>
      <c r="G259" s="4" t="s">
        <v>152</v>
      </c>
      <c r="H259" s="4"/>
      <c r="I259" s="137"/>
      <c r="J259" s="137"/>
      <c r="K259" s="4"/>
      <c r="L259" s="4"/>
      <c r="M259" s="4"/>
      <c r="N259" s="4"/>
    </row>
    <row r="260" spans="1:14" ht="15.6">
      <c r="A260" s="139" t="s">
        <v>758</v>
      </c>
      <c r="B260" s="139" t="s">
        <v>759</v>
      </c>
      <c r="C260" s="140">
        <v>1.71</v>
      </c>
      <c r="D260" s="139" t="s">
        <v>760</v>
      </c>
      <c r="E260" s="139">
        <v>642</v>
      </c>
      <c r="F260" s="4" t="s">
        <v>80</v>
      </c>
      <c r="G260" s="4" t="s">
        <v>152</v>
      </c>
      <c r="H260" s="4"/>
      <c r="I260" s="137"/>
      <c r="J260" s="137"/>
      <c r="K260" s="4"/>
      <c r="L260" s="4"/>
      <c r="M260" s="4"/>
      <c r="N260" s="4"/>
    </row>
    <row r="261" spans="1:14" ht="15.6">
      <c r="A261" s="139" t="s">
        <v>761</v>
      </c>
      <c r="B261" s="139" t="s">
        <v>762</v>
      </c>
      <c r="C261" s="140">
        <v>1.82</v>
      </c>
      <c r="D261" s="139" t="s">
        <v>763</v>
      </c>
      <c r="E261" s="139">
        <v>700</v>
      </c>
      <c r="F261" s="4" t="s">
        <v>80</v>
      </c>
      <c r="G261" s="4" t="s">
        <v>152</v>
      </c>
      <c r="H261" s="4"/>
      <c r="I261" s="137"/>
      <c r="J261" s="137"/>
      <c r="K261" s="4"/>
      <c r="L261" s="4"/>
      <c r="M261" s="4"/>
      <c r="N261" s="4"/>
    </row>
    <row r="262" spans="1:14" ht="15.6">
      <c r="A262" s="139" t="s">
        <v>764</v>
      </c>
      <c r="B262" s="139" t="s">
        <v>765</v>
      </c>
      <c r="C262" s="140">
        <v>1.86</v>
      </c>
      <c r="D262" s="139" t="s">
        <v>766</v>
      </c>
      <c r="E262" s="139">
        <v>720</v>
      </c>
      <c r="F262" s="4" t="s">
        <v>80</v>
      </c>
      <c r="G262" s="4" t="s">
        <v>152</v>
      </c>
      <c r="H262" s="4"/>
      <c r="I262" s="137"/>
      <c r="J262" s="137"/>
      <c r="K262" s="4"/>
      <c r="L262" s="4"/>
      <c r="M262" s="4"/>
      <c r="N262" s="4"/>
    </row>
    <row r="263" spans="1:14" ht="15.6">
      <c r="A263" s="139" t="s">
        <v>767</v>
      </c>
      <c r="B263" s="139" t="s">
        <v>768</v>
      </c>
      <c r="C263" s="140">
        <v>1.99</v>
      </c>
      <c r="D263" s="139" t="s">
        <v>769</v>
      </c>
      <c r="E263" s="139">
        <v>784</v>
      </c>
      <c r="F263" s="4" t="s">
        <v>80</v>
      </c>
      <c r="G263" s="4" t="s">
        <v>152</v>
      </c>
      <c r="H263" s="4"/>
      <c r="I263" s="137"/>
      <c r="J263" s="137"/>
      <c r="K263" s="4"/>
      <c r="L263" s="4"/>
      <c r="M263" s="4"/>
      <c r="N263" s="4"/>
    </row>
    <row r="264" spans="1:14" ht="15.6">
      <c r="A264" s="139" t="s">
        <v>770</v>
      </c>
      <c r="B264" s="139" t="s">
        <v>771</v>
      </c>
      <c r="C264" s="140">
        <v>2.1800000000000002</v>
      </c>
      <c r="D264" s="139" t="s">
        <v>772</v>
      </c>
      <c r="E264" s="139">
        <v>880</v>
      </c>
      <c r="F264" s="4" t="s">
        <v>80</v>
      </c>
      <c r="G264" s="4" t="s">
        <v>152</v>
      </c>
      <c r="H264" s="4"/>
      <c r="I264" s="137"/>
      <c r="J264" s="137"/>
      <c r="K264" s="4"/>
      <c r="L264" s="4"/>
      <c r="M264" s="4"/>
      <c r="N264" s="4"/>
    </row>
    <row r="265" spans="1:14" ht="15.6">
      <c r="A265" s="139" t="s">
        <v>773</v>
      </c>
      <c r="B265" s="139" t="s">
        <v>774</v>
      </c>
      <c r="C265" s="140">
        <v>1.56</v>
      </c>
      <c r="D265" s="139" t="s">
        <v>775</v>
      </c>
      <c r="E265" s="139">
        <v>555</v>
      </c>
      <c r="F265" s="4" t="s">
        <v>80</v>
      </c>
      <c r="G265" s="4" t="s">
        <v>152</v>
      </c>
      <c r="H265" s="4"/>
      <c r="I265" s="137"/>
      <c r="J265" s="137"/>
      <c r="K265" s="4"/>
      <c r="L265" s="4"/>
      <c r="M265" s="4"/>
      <c r="N265" s="4"/>
    </row>
    <row r="266" spans="1:14" ht="15.6">
      <c r="A266" s="139" t="s">
        <v>776</v>
      </c>
      <c r="B266" s="139" t="s">
        <v>777</v>
      </c>
      <c r="C266" s="140">
        <v>1.52</v>
      </c>
      <c r="D266" s="139" t="s">
        <v>778</v>
      </c>
      <c r="E266" s="139">
        <v>540</v>
      </c>
      <c r="F266" s="4" t="s">
        <v>80</v>
      </c>
      <c r="G266" s="4" t="s">
        <v>114</v>
      </c>
      <c r="H266" s="4"/>
      <c r="I266" s="137"/>
      <c r="J266" s="137"/>
      <c r="K266" s="4"/>
      <c r="L266" s="4"/>
      <c r="M266" s="4"/>
      <c r="N266" s="4"/>
    </row>
    <row r="267" spans="1:14" ht="15.6">
      <c r="A267" s="139" t="s">
        <v>779</v>
      </c>
      <c r="B267" s="139" t="s">
        <v>780</v>
      </c>
      <c r="C267" s="140">
        <v>1.6</v>
      </c>
      <c r="D267" s="139" t="s">
        <v>781</v>
      </c>
      <c r="E267" s="139">
        <v>640</v>
      </c>
      <c r="F267" s="4" t="s">
        <v>80</v>
      </c>
      <c r="G267" s="4" t="s">
        <v>114</v>
      </c>
      <c r="H267" s="4"/>
      <c r="I267" s="137"/>
      <c r="J267" s="137"/>
      <c r="K267" s="4"/>
      <c r="L267" s="4"/>
      <c r="M267" s="4"/>
      <c r="N267" s="4"/>
    </row>
    <row r="268" spans="1:14" ht="15.6">
      <c r="A268" s="139" t="s">
        <v>782</v>
      </c>
      <c r="B268" s="139" t="s">
        <v>783</v>
      </c>
      <c r="C268" s="140">
        <v>1.9</v>
      </c>
      <c r="D268" s="139" t="s">
        <v>784</v>
      </c>
      <c r="E268" s="139">
        <v>665</v>
      </c>
      <c r="F268" s="4" t="s">
        <v>80</v>
      </c>
      <c r="G268" s="4" t="s">
        <v>114</v>
      </c>
      <c r="H268" s="4"/>
      <c r="I268" s="137"/>
      <c r="J268" s="137"/>
      <c r="K268" s="4"/>
      <c r="L268" s="4"/>
      <c r="M268" s="4"/>
      <c r="N268" s="4"/>
    </row>
    <row r="269" spans="1:14" ht="15.6">
      <c r="A269" s="139" t="s">
        <v>785</v>
      </c>
      <c r="B269" s="139" t="s">
        <v>786</v>
      </c>
      <c r="C269" s="140">
        <v>1.83</v>
      </c>
      <c r="D269" s="139" t="s">
        <v>787</v>
      </c>
      <c r="E269" s="139">
        <v>710</v>
      </c>
      <c r="F269" s="4" t="s">
        <v>80</v>
      </c>
      <c r="G269" s="4" t="s">
        <v>114</v>
      </c>
      <c r="H269" s="4"/>
      <c r="I269" s="137"/>
      <c r="J269" s="137"/>
      <c r="K269" s="4"/>
      <c r="L269" s="4"/>
      <c r="M269" s="4"/>
      <c r="N269" s="4"/>
    </row>
    <row r="270" spans="1:14" ht="15.6">
      <c r="A270" s="139" t="s">
        <v>49</v>
      </c>
      <c r="B270" s="139" t="s">
        <v>788</v>
      </c>
      <c r="C270" s="140">
        <v>2.14</v>
      </c>
      <c r="D270" s="139" t="s">
        <v>789</v>
      </c>
      <c r="E270" s="139">
        <v>735</v>
      </c>
      <c r="F270" s="4" t="s">
        <v>80</v>
      </c>
      <c r="G270" s="4" t="s">
        <v>114</v>
      </c>
      <c r="H270" s="4"/>
      <c r="I270" s="137"/>
      <c r="J270" s="137"/>
      <c r="K270" s="4"/>
      <c r="L270" s="4"/>
      <c r="M270" s="4"/>
      <c r="N270" s="4"/>
    </row>
    <row r="271" spans="1:14" ht="15.6">
      <c r="A271" s="139" t="s">
        <v>790</v>
      </c>
      <c r="B271" s="139" t="s">
        <v>791</v>
      </c>
      <c r="C271" s="140">
        <v>1.54</v>
      </c>
      <c r="D271" s="139" t="s">
        <v>792</v>
      </c>
      <c r="E271" s="139">
        <v>585</v>
      </c>
      <c r="F271" s="4" t="s">
        <v>80</v>
      </c>
      <c r="G271" s="4" t="s">
        <v>114</v>
      </c>
      <c r="H271" s="4"/>
      <c r="I271" s="137"/>
      <c r="J271" s="137"/>
      <c r="K271" s="4"/>
      <c r="L271" s="4"/>
      <c r="M271" s="4"/>
      <c r="N271" s="4"/>
    </row>
    <row r="272" spans="1:14" ht="15.6">
      <c r="A272" s="139" t="s">
        <v>52</v>
      </c>
      <c r="B272" s="139" t="s">
        <v>793</v>
      </c>
      <c r="C272" s="140">
        <v>1.5</v>
      </c>
      <c r="D272" s="139" t="s">
        <v>794</v>
      </c>
      <c r="E272" s="139">
        <v>590</v>
      </c>
      <c r="F272" s="4" t="s">
        <v>80</v>
      </c>
      <c r="G272" s="4" t="s">
        <v>121</v>
      </c>
      <c r="H272" s="4"/>
      <c r="I272" s="137"/>
      <c r="J272" s="137"/>
      <c r="K272" s="4"/>
      <c r="L272" s="4"/>
      <c r="M272" s="4"/>
      <c r="N272" s="4"/>
    </row>
    <row r="273" spans="1:14" ht="15.6">
      <c r="A273" s="139" t="s">
        <v>795</v>
      </c>
      <c r="B273" s="139" t="s">
        <v>796</v>
      </c>
      <c r="C273" s="140">
        <v>1.58</v>
      </c>
      <c r="D273" s="139" t="s">
        <v>797</v>
      </c>
      <c r="E273" s="139">
        <v>630</v>
      </c>
      <c r="F273" s="4" t="s">
        <v>80</v>
      </c>
      <c r="G273" s="4" t="s">
        <v>121</v>
      </c>
      <c r="H273" s="4"/>
      <c r="I273" s="137"/>
      <c r="J273" s="137"/>
      <c r="K273" s="4"/>
      <c r="L273" s="4"/>
      <c r="M273" s="4"/>
      <c r="N273" s="4"/>
    </row>
    <row r="274" spans="1:14" ht="15.6">
      <c r="A274" s="139" t="s">
        <v>798</v>
      </c>
      <c r="B274" s="139" t="s">
        <v>799</v>
      </c>
      <c r="C274" s="140">
        <v>1.69</v>
      </c>
      <c r="D274" s="139" t="s">
        <v>800</v>
      </c>
      <c r="E274" s="139">
        <v>690</v>
      </c>
      <c r="F274" s="4" t="s">
        <v>80</v>
      </c>
      <c r="G274" s="4" t="s">
        <v>121</v>
      </c>
      <c r="H274" s="4"/>
      <c r="I274" s="137"/>
      <c r="J274" s="137"/>
      <c r="K274" s="4"/>
      <c r="L274" s="4"/>
      <c r="M274" s="4"/>
      <c r="N274" s="4"/>
    </row>
    <row r="275" spans="1:14" ht="15.6">
      <c r="A275" s="139" t="s">
        <v>801</v>
      </c>
      <c r="B275" s="139" t="s">
        <v>802</v>
      </c>
      <c r="C275" s="140">
        <v>1.34</v>
      </c>
      <c r="D275" s="139" t="s">
        <v>803</v>
      </c>
      <c r="E275" s="139">
        <v>475</v>
      </c>
      <c r="F275" s="4" t="s">
        <v>80</v>
      </c>
      <c r="G275" s="4" t="s">
        <v>121</v>
      </c>
      <c r="H275" s="4"/>
      <c r="I275" s="137"/>
      <c r="J275" s="137"/>
      <c r="K275" s="4"/>
      <c r="L275" s="4"/>
      <c r="M275" s="4"/>
      <c r="N275" s="4"/>
    </row>
    <row r="276" spans="1:14" ht="15.6">
      <c r="A276" s="139" t="s">
        <v>804</v>
      </c>
      <c r="B276" s="139" t="s">
        <v>805</v>
      </c>
      <c r="C276" s="140">
        <v>1.85</v>
      </c>
      <c r="D276" s="139" t="s">
        <v>806</v>
      </c>
      <c r="E276" s="139">
        <v>770</v>
      </c>
      <c r="F276" s="4" t="s">
        <v>80</v>
      </c>
      <c r="G276" s="4" t="s">
        <v>121</v>
      </c>
      <c r="H276" s="4"/>
      <c r="I276" s="137"/>
      <c r="J276" s="137"/>
      <c r="K276" s="4"/>
      <c r="L276" s="4"/>
      <c r="M276" s="4"/>
      <c r="N276" s="4"/>
    </row>
    <row r="277" spans="1:14" ht="15.6">
      <c r="A277" s="139" t="s">
        <v>807</v>
      </c>
      <c r="B277" s="139" t="s">
        <v>808</v>
      </c>
      <c r="C277" s="140">
        <v>2.04</v>
      </c>
      <c r="D277" s="139" t="s">
        <v>809</v>
      </c>
      <c r="E277" s="139">
        <v>860</v>
      </c>
      <c r="F277" s="4" t="s">
        <v>80</v>
      </c>
      <c r="G277" s="4" t="s">
        <v>121</v>
      </c>
      <c r="H277" s="4"/>
      <c r="I277" s="137"/>
      <c r="J277" s="137"/>
      <c r="K277" s="4"/>
      <c r="L277" s="4"/>
      <c r="M277" s="4"/>
      <c r="N277" s="4"/>
    </row>
    <row r="278" spans="1:14" ht="15.6">
      <c r="A278" s="139" t="s">
        <v>810</v>
      </c>
      <c r="B278" s="139" t="s">
        <v>811</v>
      </c>
      <c r="C278" s="140">
        <v>1.45</v>
      </c>
      <c r="D278" s="139" t="s">
        <v>812</v>
      </c>
      <c r="E278" s="139">
        <v>555</v>
      </c>
      <c r="F278" s="4" t="s">
        <v>80</v>
      </c>
      <c r="G278" s="4" t="s">
        <v>121</v>
      </c>
      <c r="H278" s="4"/>
      <c r="I278" s="137"/>
      <c r="J278" s="137"/>
      <c r="K278" s="4"/>
      <c r="L278" s="4"/>
      <c r="M278" s="4"/>
      <c r="N278" s="4"/>
    </row>
    <row r="279" spans="1:14" ht="15.6">
      <c r="A279" s="139" t="s">
        <v>813</v>
      </c>
      <c r="B279" s="139" t="s">
        <v>814</v>
      </c>
      <c r="C279" s="140">
        <v>2.39</v>
      </c>
      <c r="D279" s="139" t="s">
        <v>815</v>
      </c>
      <c r="E279" s="139">
        <v>560</v>
      </c>
      <c r="F279" s="4" t="s">
        <v>80</v>
      </c>
      <c r="G279" s="4" t="s">
        <v>278</v>
      </c>
      <c r="H279" s="4"/>
      <c r="I279" s="137"/>
      <c r="J279" s="137"/>
      <c r="K279" s="4"/>
      <c r="L279" s="4"/>
      <c r="M279" s="4"/>
      <c r="N279" s="4"/>
    </row>
    <row r="280" spans="1:14" ht="15.6">
      <c r="A280" s="139" t="s">
        <v>816</v>
      </c>
      <c r="B280" s="139" t="s">
        <v>817</v>
      </c>
      <c r="C280" s="140">
        <v>2.69</v>
      </c>
      <c r="D280" s="139" t="s">
        <v>818</v>
      </c>
      <c r="E280" s="139">
        <v>650</v>
      </c>
      <c r="F280" s="4" t="s">
        <v>80</v>
      </c>
      <c r="G280" s="4" t="s">
        <v>278</v>
      </c>
      <c r="H280" s="4"/>
      <c r="I280" s="137"/>
      <c r="J280" s="137"/>
      <c r="K280" s="4"/>
      <c r="L280" s="4"/>
      <c r="M280" s="4"/>
      <c r="N280" s="4"/>
    </row>
    <row r="281" spans="1:14" ht="15.6">
      <c r="A281" s="139" t="s">
        <v>819</v>
      </c>
      <c r="B281" s="139" t="s">
        <v>820</v>
      </c>
      <c r="C281" s="140">
        <v>2.95</v>
      </c>
      <c r="D281" s="139" t="s">
        <v>821</v>
      </c>
      <c r="E281" s="139">
        <v>730</v>
      </c>
      <c r="F281" s="4" t="s">
        <v>80</v>
      </c>
      <c r="G281" s="4" t="s">
        <v>278</v>
      </c>
      <c r="H281" s="4"/>
      <c r="I281" s="137"/>
      <c r="J281" s="137"/>
      <c r="K281" s="4"/>
      <c r="L281" s="4"/>
      <c r="M281" s="4"/>
      <c r="N281" s="4"/>
    </row>
    <row r="282" spans="1:14" ht="15.6">
      <c r="A282" s="139" t="s">
        <v>822</v>
      </c>
      <c r="B282" s="139" t="s">
        <v>823</v>
      </c>
      <c r="C282" s="140">
        <v>2.84</v>
      </c>
      <c r="D282" s="139" t="s">
        <v>824</v>
      </c>
      <c r="E282" s="139">
        <v>690</v>
      </c>
      <c r="F282" s="4" t="s">
        <v>80</v>
      </c>
      <c r="G282" s="4" t="s">
        <v>278</v>
      </c>
      <c r="H282" s="4"/>
      <c r="I282" s="137"/>
      <c r="J282" s="137"/>
      <c r="K282" s="4"/>
      <c r="L282" s="4"/>
      <c r="M282" s="4"/>
      <c r="N282" s="4"/>
    </row>
    <row r="283" spans="1:14" ht="15.6">
      <c r="A283" s="139" t="s">
        <v>825</v>
      </c>
      <c r="B283" s="139" t="s">
        <v>826</v>
      </c>
      <c r="C283" s="140">
        <v>1.63</v>
      </c>
      <c r="D283" s="139" t="s">
        <v>827</v>
      </c>
      <c r="E283" s="139">
        <v>632</v>
      </c>
      <c r="F283" s="4" t="s">
        <v>80</v>
      </c>
      <c r="G283" s="4" t="s">
        <v>107</v>
      </c>
      <c r="H283" s="4"/>
      <c r="I283" s="137"/>
      <c r="J283" s="137"/>
      <c r="K283" s="4"/>
      <c r="L283" s="4"/>
      <c r="M283" s="4"/>
      <c r="N283" s="4"/>
    </row>
    <row r="284" spans="1:14" ht="15.6">
      <c r="A284" s="139" t="s">
        <v>828</v>
      </c>
      <c r="B284" s="139" t="s">
        <v>826</v>
      </c>
      <c r="C284" s="140">
        <v>1.75</v>
      </c>
      <c r="D284" s="139" t="s">
        <v>800</v>
      </c>
      <c r="E284" s="139">
        <v>691</v>
      </c>
      <c r="F284" s="4" t="s">
        <v>80</v>
      </c>
      <c r="G284" s="4" t="s">
        <v>107</v>
      </c>
      <c r="H284" s="4"/>
      <c r="I284" s="137"/>
      <c r="J284" s="137"/>
      <c r="K284" s="4"/>
      <c r="L284" s="4"/>
      <c r="M284" s="4"/>
      <c r="N284" s="4"/>
    </row>
    <row r="285" spans="1:14" ht="15.6">
      <c r="A285" s="139" t="s">
        <v>829</v>
      </c>
      <c r="B285" s="139" t="s">
        <v>826</v>
      </c>
      <c r="C285" s="140">
        <v>2.27</v>
      </c>
      <c r="D285" s="139" t="s">
        <v>830</v>
      </c>
      <c r="E285" s="139">
        <v>772</v>
      </c>
      <c r="F285" s="4" t="s">
        <v>80</v>
      </c>
      <c r="G285" s="4" t="s">
        <v>107</v>
      </c>
      <c r="H285" s="4"/>
      <c r="I285" s="137"/>
      <c r="J285" s="137"/>
      <c r="K285" s="4"/>
      <c r="L285" s="4"/>
      <c r="M285" s="4"/>
      <c r="N285" s="4"/>
    </row>
    <row r="286" spans="1:14" ht="15.6">
      <c r="A286" s="139" t="s">
        <v>831</v>
      </c>
      <c r="B286" s="139" t="s">
        <v>832</v>
      </c>
      <c r="C286" s="140">
        <v>1.5</v>
      </c>
      <c r="D286" s="139" t="s">
        <v>833</v>
      </c>
      <c r="E286" s="139">
        <v>500</v>
      </c>
      <c r="F286" s="4" t="s">
        <v>80</v>
      </c>
      <c r="G286" s="4" t="s">
        <v>114</v>
      </c>
      <c r="H286" s="4"/>
      <c r="I286" s="137"/>
      <c r="J286" s="137"/>
      <c r="K286" s="4"/>
      <c r="L286" s="4"/>
      <c r="M286" s="4"/>
      <c r="N286" s="4"/>
    </row>
    <row r="287" spans="1:14" ht="15.6">
      <c r="A287" s="139" t="s">
        <v>834</v>
      </c>
      <c r="B287" s="139" t="s">
        <v>835</v>
      </c>
      <c r="C287" s="140">
        <v>1.9</v>
      </c>
      <c r="D287" s="139" t="s">
        <v>836</v>
      </c>
      <c r="E287" s="139">
        <v>642</v>
      </c>
      <c r="F287" s="4" t="s">
        <v>80</v>
      </c>
      <c r="G287" s="4" t="s">
        <v>152</v>
      </c>
      <c r="H287" s="4"/>
      <c r="I287" s="137"/>
      <c r="J287" s="137"/>
      <c r="K287" s="4"/>
      <c r="L287" s="4"/>
      <c r="M287" s="4"/>
      <c r="N287" s="4"/>
    </row>
    <row r="288" spans="1:14" ht="15.6">
      <c r="A288" s="139" t="s">
        <v>837</v>
      </c>
      <c r="B288" s="139" t="s">
        <v>838</v>
      </c>
      <c r="C288" s="140">
        <v>2.85</v>
      </c>
      <c r="D288" s="139" t="s">
        <v>839</v>
      </c>
      <c r="E288" s="139">
        <v>670</v>
      </c>
      <c r="F288" s="4" t="s">
        <v>80</v>
      </c>
      <c r="G288" s="4" t="s">
        <v>278</v>
      </c>
      <c r="H288" s="4"/>
      <c r="I288" s="137"/>
      <c r="J288" s="137"/>
      <c r="K288" s="4"/>
      <c r="L288" s="4"/>
      <c r="M288" s="4"/>
      <c r="N288" s="4"/>
    </row>
    <row r="289" spans="1:14" ht="15.6">
      <c r="A289" s="139" t="s">
        <v>840</v>
      </c>
      <c r="B289" s="139" t="s">
        <v>841</v>
      </c>
      <c r="C289" s="140">
        <v>1.78</v>
      </c>
      <c r="D289" s="139" t="s">
        <v>842</v>
      </c>
      <c r="E289" s="139">
        <v>632</v>
      </c>
      <c r="F289" s="4" t="s">
        <v>80</v>
      </c>
      <c r="G289" s="4" t="s">
        <v>107</v>
      </c>
      <c r="H289" s="4"/>
      <c r="I289" s="137"/>
      <c r="J289" s="137"/>
      <c r="K289" s="4"/>
      <c r="L289" s="4"/>
      <c r="M289" s="4"/>
      <c r="N289" s="4"/>
    </row>
    <row r="290" spans="1:14" ht="15.6">
      <c r="A290" s="139" t="s">
        <v>843</v>
      </c>
      <c r="B290" s="139" t="s">
        <v>841</v>
      </c>
      <c r="C290" s="140">
        <v>2.4700000000000002</v>
      </c>
      <c r="D290" s="139" t="s">
        <v>844</v>
      </c>
      <c r="E290" s="139">
        <v>777</v>
      </c>
      <c r="F290" s="4" t="s">
        <v>80</v>
      </c>
      <c r="G290" s="4" t="s">
        <v>107</v>
      </c>
      <c r="H290" s="4"/>
      <c r="I290" s="137"/>
      <c r="J290" s="137"/>
      <c r="K290" s="4"/>
      <c r="L290" s="4"/>
      <c r="M290" s="4"/>
      <c r="N290" s="4"/>
    </row>
    <row r="291" spans="1:14" ht="15.6">
      <c r="A291" s="139" t="s">
        <v>845</v>
      </c>
      <c r="B291" s="139" t="s">
        <v>846</v>
      </c>
      <c r="C291" s="140">
        <v>1.75</v>
      </c>
      <c r="D291" s="139" t="s">
        <v>847</v>
      </c>
      <c r="E291" s="139">
        <v>630</v>
      </c>
      <c r="F291" s="4" t="s">
        <v>80</v>
      </c>
      <c r="G291" s="4" t="s">
        <v>121</v>
      </c>
      <c r="H291" s="4"/>
      <c r="I291" s="137"/>
      <c r="J291" s="137"/>
      <c r="K291" s="4"/>
      <c r="L291" s="4"/>
      <c r="M291" s="4"/>
      <c r="N291" s="4"/>
    </row>
    <row r="292" spans="1:14" ht="15.6">
      <c r="A292" s="139" t="s">
        <v>848</v>
      </c>
      <c r="B292" s="139" t="s">
        <v>849</v>
      </c>
      <c r="C292" s="140">
        <v>1.85</v>
      </c>
      <c r="D292" s="139" t="s">
        <v>850</v>
      </c>
      <c r="E292" s="139">
        <v>700</v>
      </c>
      <c r="F292" s="4" t="s">
        <v>80</v>
      </c>
      <c r="G292" s="4" t="s">
        <v>121</v>
      </c>
      <c r="H292" s="4"/>
      <c r="I292" s="137"/>
      <c r="J292" s="137"/>
      <c r="K292" s="4"/>
      <c r="L292" s="4"/>
      <c r="M292" s="4"/>
      <c r="N292" s="4"/>
    </row>
    <row r="293" spans="1:14" ht="15.6">
      <c r="A293" s="139" t="s">
        <v>851</v>
      </c>
      <c r="B293" s="139" t="s">
        <v>852</v>
      </c>
      <c r="C293" s="140">
        <v>2.5099999999999998</v>
      </c>
      <c r="D293" s="139" t="s">
        <v>853</v>
      </c>
      <c r="E293" s="139">
        <v>766</v>
      </c>
      <c r="F293" s="4" t="s">
        <v>79</v>
      </c>
      <c r="G293" s="4" t="s">
        <v>107</v>
      </c>
      <c r="H293" s="4"/>
      <c r="I293" s="137"/>
      <c r="J293" s="137"/>
      <c r="K293" s="4"/>
      <c r="L293" s="4"/>
      <c r="M293" s="4"/>
      <c r="N293" s="4"/>
    </row>
    <row r="294" spans="1:14" ht="15.6">
      <c r="A294" s="139" t="s">
        <v>854</v>
      </c>
      <c r="B294" s="139" t="s">
        <v>855</v>
      </c>
      <c r="C294" s="140">
        <v>2.83</v>
      </c>
      <c r="D294" s="139" t="s">
        <v>856</v>
      </c>
      <c r="E294" s="139">
        <v>895</v>
      </c>
      <c r="F294" s="4" t="s">
        <v>79</v>
      </c>
      <c r="G294" s="4" t="s">
        <v>107</v>
      </c>
      <c r="H294" s="4"/>
      <c r="I294" s="137"/>
      <c r="J294" s="137"/>
      <c r="K294" s="4"/>
      <c r="L294" s="4"/>
      <c r="M294" s="4"/>
      <c r="N294" s="4"/>
    </row>
    <row r="295" spans="1:14" ht="15.6">
      <c r="A295" s="139" t="s">
        <v>857</v>
      </c>
      <c r="B295" s="139" t="s">
        <v>858</v>
      </c>
      <c r="C295" s="140">
        <v>1.67</v>
      </c>
      <c r="D295" s="139" t="s">
        <v>859</v>
      </c>
      <c r="E295" s="139">
        <v>545</v>
      </c>
      <c r="F295" s="4" t="s">
        <v>79</v>
      </c>
      <c r="G295" s="4" t="s">
        <v>114</v>
      </c>
      <c r="H295" s="4"/>
      <c r="I295" s="137"/>
      <c r="J295" s="137"/>
      <c r="K295" s="4"/>
      <c r="L295" s="4"/>
      <c r="M295" s="4"/>
      <c r="N295" s="4"/>
    </row>
    <row r="296" spans="1:14" ht="15.6">
      <c r="A296" s="139" t="s">
        <v>860</v>
      </c>
      <c r="B296" s="139" t="s">
        <v>861</v>
      </c>
      <c r="C296" s="140">
        <v>1.52</v>
      </c>
      <c r="D296" s="139" t="s">
        <v>862</v>
      </c>
      <c r="E296" s="139">
        <v>574</v>
      </c>
      <c r="F296" s="4" t="s">
        <v>79</v>
      </c>
      <c r="G296" s="4" t="s">
        <v>114</v>
      </c>
      <c r="H296" s="4"/>
      <c r="I296" s="137"/>
      <c r="J296" s="137"/>
      <c r="K296" s="4"/>
      <c r="L296" s="4"/>
      <c r="M296" s="4"/>
      <c r="N296" s="4"/>
    </row>
    <row r="297" spans="1:14" ht="15.6">
      <c r="A297" s="139" t="s">
        <v>863</v>
      </c>
      <c r="B297" s="139" t="s">
        <v>864</v>
      </c>
      <c r="C297" s="140">
        <v>2.31</v>
      </c>
      <c r="D297" s="139" t="s">
        <v>865</v>
      </c>
      <c r="E297" s="139">
        <v>752</v>
      </c>
      <c r="F297" s="4" t="s">
        <v>79</v>
      </c>
      <c r="G297" s="4" t="s">
        <v>114</v>
      </c>
      <c r="H297" s="4"/>
      <c r="I297" s="137"/>
      <c r="J297" s="137"/>
      <c r="K297" s="4"/>
      <c r="L297" s="4"/>
      <c r="M297" s="4"/>
      <c r="N297" s="4"/>
    </row>
    <row r="298" spans="1:14" ht="15.6">
      <c r="A298" s="139" t="s">
        <v>866</v>
      </c>
      <c r="B298" s="139" t="s">
        <v>867</v>
      </c>
      <c r="C298" s="140">
        <v>2.35</v>
      </c>
      <c r="D298" s="139" t="s">
        <v>868</v>
      </c>
      <c r="E298" s="139">
        <v>772</v>
      </c>
      <c r="F298" s="4" t="s">
        <v>79</v>
      </c>
      <c r="G298" s="4" t="s">
        <v>114</v>
      </c>
      <c r="H298" s="4"/>
      <c r="I298" s="137"/>
      <c r="J298" s="137"/>
      <c r="K298" s="4"/>
      <c r="L298" s="4"/>
      <c r="M298" s="4"/>
      <c r="N298" s="4"/>
    </row>
    <row r="299" spans="1:14" ht="15.6">
      <c r="A299" s="139" t="s">
        <v>869</v>
      </c>
      <c r="B299" s="139" t="s">
        <v>870</v>
      </c>
      <c r="C299" s="140">
        <v>1.49</v>
      </c>
      <c r="D299" s="139" t="s">
        <v>751</v>
      </c>
      <c r="E299" s="139">
        <v>572</v>
      </c>
      <c r="F299" s="4" t="s">
        <v>79</v>
      </c>
      <c r="G299" s="4" t="s">
        <v>107</v>
      </c>
      <c r="H299" s="4"/>
      <c r="I299" s="137"/>
      <c r="J299" s="137"/>
      <c r="K299" s="4"/>
      <c r="L299" s="4"/>
      <c r="M299" s="4"/>
      <c r="N299" s="4"/>
    </row>
    <row r="300" spans="1:14" ht="15.6">
      <c r="A300" s="139" t="s">
        <v>871</v>
      </c>
      <c r="B300" s="139" t="s">
        <v>872</v>
      </c>
      <c r="C300" s="140">
        <v>1.5</v>
      </c>
      <c r="D300" s="139" t="s">
        <v>873</v>
      </c>
      <c r="E300" s="139">
        <v>515</v>
      </c>
      <c r="F300" s="4" t="s">
        <v>79</v>
      </c>
      <c r="G300" s="4" t="s">
        <v>114</v>
      </c>
      <c r="H300" s="4"/>
      <c r="I300" s="137"/>
      <c r="J300" s="137"/>
      <c r="K300" s="4"/>
      <c r="L300" s="4"/>
      <c r="M300" s="4"/>
      <c r="N300" s="4"/>
    </row>
    <row r="301" spans="1:14" ht="15.6">
      <c r="A301" s="139" t="s">
        <v>874</v>
      </c>
      <c r="B301" s="139" t="s">
        <v>875</v>
      </c>
      <c r="C301" s="140">
        <v>1.57</v>
      </c>
      <c r="D301" s="139" t="s">
        <v>757</v>
      </c>
      <c r="E301" s="139">
        <v>585</v>
      </c>
      <c r="F301" s="4" t="s">
        <v>79</v>
      </c>
      <c r="G301" s="4" t="s">
        <v>152</v>
      </c>
      <c r="H301" s="4"/>
      <c r="I301" s="137"/>
      <c r="J301" s="137"/>
      <c r="K301" s="4"/>
      <c r="L301" s="4"/>
      <c r="M301" s="4"/>
      <c r="N301" s="4"/>
    </row>
    <row r="302" spans="1:14" ht="15.6">
      <c r="A302" s="139" t="s">
        <v>876</v>
      </c>
      <c r="B302" s="139" t="s">
        <v>877</v>
      </c>
      <c r="C302" s="140">
        <v>1.66</v>
      </c>
      <c r="D302" s="139" t="s">
        <v>760</v>
      </c>
      <c r="E302" s="139">
        <v>630</v>
      </c>
      <c r="F302" s="4" t="s">
        <v>79</v>
      </c>
      <c r="G302" s="4" t="s">
        <v>152</v>
      </c>
      <c r="H302" s="4"/>
      <c r="I302" s="137"/>
      <c r="J302" s="137"/>
      <c r="K302" s="4"/>
      <c r="L302" s="4"/>
      <c r="M302" s="4"/>
      <c r="N302" s="4"/>
    </row>
    <row r="303" spans="1:14" ht="15.6">
      <c r="A303" s="139" t="s">
        <v>878</v>
      </c>
      <c r="B303" s="139" t="s">
        <v>879</v>
      </c>
      <c r="C303" s="140">
        <v>1.84</v>
      </c>
      <c r="D303" s="139" t="s">
        <v>763</v>
      </c>
      <c r="E303" s="139">
        <v>686</v>
      </c>
      <c r="F303" s="4" t="s">
        <v>79</v>
      </c>
      <c r="G303" s="4" t="s">
        <v>152</v>
      </c>
      <c r="H303" s="4"/>
    </row>
    <row r="304" spans="1:14" ht="15.6">
      <c r="A304" s="139" t="s">
        <v>880</v>
      </c>
      <c r="B304" s="139" t="s">
        <v>881</v>
      </c>
      <c r="C304" s="140">
        <v>1.49</v>
      </c>
      <c r="D304" s="139" t="s">
        <v>882</v>
      </c>
      <c r="E304" s="139">
        <v>529</v>
      </c>
      <c r="F304" s="4" t="s">
        <v>79</v>
      </c>
      <c r="G304" s="4" t="s">
        <v>152</v>
      </c>
      <c r="H304" s="4"/>
    </row>
    <row r="305" spans="1:8" ht="15.6">
      <c r="A305" s="139" t="s">
        <v>883</v>
      </c>
      <c r="B305" s="139" t="s">
        <v>884</v>
      </c>
      <c r="C305" s="140">
        <v>1.69</v>
      </c>
      <c r="D305" s="139" t="s">
        <v>885</v>
      </c>
      <c r="E305" s="139">
        <v>630</v>
      </c>
      <c r="F305" s="4" t="s">
        <v>79</v>
      </c>
      <c r="G305" s="4" t="s">
        <v>114</v>
      </c>
      <c r="H305" s="4"/>
    </row>
    <row r="306" spans="1:8" ht="15.6">
      <c r="A306" s="139" t="s">
        <v>886</v>
      </c>
      <c r="B306" s="139" t="s">
        <v>887</v>
      </c>
      <c r="C306" s="140">
        <v>1.75</v>
      </c>
      <c r="D306" s="139" t="s">
        <v>888</v>
      </c>
      <c r="E306" s="139">
        <v>670</v>
      </c>
      <c r="F306" s="4" t="s">
        <v>79</v>
      </c>
      <c r="G306" s="4" t="s">
        <v>114</v>
      </c>
      <c r="H306" s="4"/>
    </row>
    <row r="307" spans="1:8" ht="15.6">
      <c r="A307" s="139" t="s">
        <v>889</v>
      </c>
      <c r="B307" s="139" t="s">
        <v>890</v>
      </c>
      <c r="C307" s="140">
        <v>2</v>
      </c>
      <c r="D307" s="139" t="s">
        <v>891</v>
      </c>
      <c r="E307" s="139">
        <v>772</v>
      </c>
      <c r="F307" s="4" t="s">
        <v>79</v>
      </c>
      <c r="G307" s="4" t="s">
        <v>114</v>
      </c>
      <c r="H307" s="4"/>
    </row>
    <row r="308" spans="1:8" ht="15.6">
      <c r="A308" s="139" t="s">
        <v>892</v>
      </c>
      <c r="B308" s="139" t="s">
        <v>893</v>
      </c>
      <c r="C308" s="140">
        <v>1.6</v>
      </c>
      <c r="D308" s="139" t="s">
        <v>894</v>
      </c>
      <c r="E308" s="139">
        <v>610</v>
      </c>
      <c r="F308" s="4" t="s">
        <v>79</v>
      </c>
      <c r="G308" s="4" t="s">
        <v>114</v>
      </c>
      <c r="H308" s="4"/>
    </row>
    <row r="309" spans="1:8" ht="15.6">
      <c r="A309" s="139" t="s">
        <v>895</v>
      </c>
      <c r="B309" s="139" t="s">
        <v>896</v>
      </c>
      <c r="C309" s="140">
        <v>1.55</v>
      </c>
      <c r="D309" s="139" t="s">
        <v>797</v>
      </c>
      <c r="E309" s="139">
        <v>620</v>
      </c>
      <c r="F309" s="4" t="s">
        <v>79</v>
      </c>
      <c r="G309" s="4" t="s">
        <v>121</v>
      </c>
      <c r="H309" s="4"/>
    </row>
    <row r="310" spans="1:8" ht="15.6">
      <c r="A310" s="139" t="s">
        <v>897</v>
      </c>
      <c r="B310" s="139" t="s">
        <v>898</v>
      </c>
      <c r="C310" s="140">
        <v>1.47</v>
      </c>
      <c r="D310" s="139" t="s">
        <v>794</v>
      </c>
      <c r="E310" s="139">
        <v>580</v>
      </c>
      <c r="F310" s="4" t="s">
        <v>79</v>
      </c>
      <c r="G310" s="4" t="s">
        <v>121</v>
      </c>
      <c r="H310" s="4"/>
    </row>
    <row r="311" spans="1:8" ht="15.6">
      <c r="A311" s="139" t="s">
        <v>899</v>
      </c>
      <c r="B311" s="139" t="s">
        <v>900</v>
      </c>
      <c r="C311" s="140">
        <v>1.65</v>
      </c>
      <c r="D311" s="139" t="s">
        <v>800</v>
      </c>
      <c r="E311" s="139">
        <v>675</v>
      </c>
      <c r="F311" s="4" t="s">
        <v>79</v>
      </c>
      <c r="G311" s="4" t="s">
        <v>121</v>
      </c>
      <c r="H311" s="4"/>
    </row>
    <row r="312" spans="1:8" ht="15.6">
      <c r="A312" s="139" t="s">
        <v>901</v>
      </c>
      <c r="B312" s="139" t="s">
        <v>902</v>
      </c>
      <c r="C312" s="140">
        <v>2.14</v>
      </c>
      <c r="D312" s="139" t="s">
        <v>815</v>
      </c>
      <c r="E312" s="139">
        <v>540</v>
      </c>
      <c r="F312" s="4" t="s">
        <v>79</v>
      </c>
      <c r="G312" s="4" t="s">
        <v>278</v>
      </c>
      <c r="H312" s="4"/>
    </row>
    <row r="313" spans="1:8" ht="15.6">
      <c r="A313" s="139" t="s">
        <v>903</v>
      </c>
      <c r="B313" s="139" t="s">
        <v>904</v>
      </c>
      <c r="C313" s="140">
        <v>2.35</v>
      </c>
      <c r="D313" s="139" t="s">
        <v>905</v>
      </c>
      <c r="E313" s="139">
        <v>600</v>
      </c>
      <c r="F313" s="4" t="s">
        <v>79</v>
      </c>
      <c r="G313" s="4" t="s">
        <v>278</v>
      </c>
      <c r="H313" s="4"/>
    </row>
    <row r="314" spans="1:8" ht="15.6">
      <c r="A314" s="139" t="s">
        <v>906</v>
      </c>
      <c r="B314" s="139" t="s">
        <v>907</v>
      </c>
      <c r="C314" s="140">
        <v>2.56</v>
      </c>
      <c r="D314" s="139" t="s">
        <v>824</v>
      </c>
      <c r="E314" s="139">
        <v>670</v>
      </c>
      <c r="F314" s="4" t="s">
        <v>79</v>
      </c>
      <c r="G314" s="4" t="s">
        <v>278</v>
      </c>
      <c r="H314" s="4"/>
    </row>
    <row r="315" spans="1:8" ht="15.6">
      <c r="A315" s="139" t="s">
        <v>908</v>
      </c>
      <c r="B315" s="139" t="s">
        <v>909</v>
      </c>
      <c r="C315" s="140">
        <v>1.59</v>
      </c>
      <c r="D315" s="139" t="s">
        <v>910</v>
      </c>
      <c r="E315" s="139">
        <v>618</v>
      </c>
      <c r="F315" s="4" t="s">
        <v>79</v>
      </c>
      <c r="G315" s="4" t="s">
        <v>107</v>
      </c>
      <c r="H315" s="4"/>
    </row>
    <row r="316" spans="1:8" ht="15.6">
      <c r="A316" s="139" t="s">
        <v>911</v>
      </c>
      <c r="B316" s="139" t="s">
        <v>909</v>
      </c>
      <c r="C316" s="140">
        <v>1.71</v>
      </c>
      <c r="D316" s="139" t="s">
        <v>912</v>
      </c>
      <c r="E316" s="139">
        <v>675</v>
      </c>
      <c r="F316" s="4" t="s">
        <v>79</v>
      </c>
      <c r="G316" s="4" t="s">
        <v>107</v>
      </c>
      <c r="H316" s="4"/>
    </row>
    <row r="317" spans="1:8" ht="15.6">
      <c r="A317" s="139" t="s">
        <v>913</v>
      </c>
      <c r="B317" s="139" t="s">
        <v>914</v>
      </c>
      <c r="C317" s="140">
        <v>1.31</v>
      </c>
      <c r="D317" s="139" t="s">
        <v>915</v>
      </c>
      <c r="E317" s="139">
        <v>485</v>
      </c>
      <c r="F317" s="4" t="s">
        <v>79</v>
      </c>
      <c r="G317" s="4" t="s">
        <v>121</v>
      </c>
      <c r="H317" s="4"/>
    </row>
    <row r="318" spans="1:8" ht="15.6">
      <c r="A318" s="139" t="s">
        <v>916</v>
      </c>
      <c r="B318" s="139" t="s">
        <v>917</v>
      </c>
      <c r="C318" s="140">
        <v>2.5499999999999998</v>
      </c>
      <c r="D318" s="139" t="s">
        <v>918</v>
      </c>
      <c r="E318" s="139">
        <v>706</v>
      </c>
      <c r="F318" s="4" t="s">
        <v>79</v>
      </c>
      <c r="G318" s="4" t="s">
        <v>107</v>
      </c>
      <c r="H318" s="4"/>
    </row>
    <row r="319" spans="1:8" ht="15.6">
      <c r="A319" s="139" t="s">
        <v>919</v>
      </c>
      <c r="B319" s="139" t="s">
        <v>920</v>
      </c>
      <c r="C319" s="140">
        <v>1.77</v>
      </c>
      <c r="D319" s="139" t="s">
        <v>921</v>
      </c>
      <c r="E319" s="139">
        <v>640</v>
      </c>
      <c r="F319" s="4" t="s">
        <v>79</v>
      </c>
      <c r="G319" s="4" t="s">
        <v>152</v>
      </c>
      <c r="H319" s="4"/>
    </row>
    <row r="320" spans="1:8" ht="15.6">
      <c r="A320" s="139" t="s">
        <v>922</v>
      </c>
      <c r="B320" s="139" t="s">
        <v>923</v>
      </c>
      <c r="C320" s="140">
        <v>1.75</v>
      </c>
      <c r="D320" s="139" t="s">
        <v>924</v>
      </c>
      <c r="E320" s="139">
        <v>535</v>
      </c>
      <c r="F320" s="4" t="s">
        <v>79</v>
      </c>
      <c r="G320" s="4" t="s">
        <v>114</v>
      </c>
      <c r="H320" s="4"/>
    </row>
    <row r="321" spans="1:8" ht="15.6">
      <c r="A321" s="139" t="s">
        <v>925</v>
      </c>
      <c r="B321" s="139" t="s">
        <v>926</v>
      </c>
      <c r="C321" s="140">
        <v>2.0699999999999998</v>
      </c>
      <c r="D321" s="139" t="s">
        <v>927</v>
      </c>
      <c r="E321" s="139">
        <v>660</v>
      </c>
      <c r="F321" s="4" t="s">
        <v>79</v>
      </c>
      <c r="G321" s="4" t="s">
        <v>114</v>
      </c>
      <c r="H321" s="4"/>
    </row>
    <row r="322" spans="1:8" ht="15.6">
      <c r="A322" s="139" t="s">
        <v>928</v>
      </c>
      <c r="B322" s="139" t="s">
        <v>929</v>
      </c>
      <c r="C322" s="140">
        <v>1.68</v>
      </c>
      <c r="D322" s="139" t="s">
        <v>930</v>
      </c>
      <c r="E322" s="139">
        <v>625</v>
      </c>
      <c r="F322" s="4" t="s">
        <v>79</v>
      </c>
      <c r="G322" s="4" t="s">
        <v>121</v>
      </c>
      <c r="H322" s="4"/>
    </row>
    <row r="323" spans="1:8" ht="15.6">
      <c r="A323" s="139" t="s">
        <v>931</v>
      </c>
      <c r="B323" s="139" t="s">
        <v>932</v>
      </c>
      <c r="C323" s="140">
        <v>1.46</v>
      </c>
      <c r="D323" s="139" t="s">
        <v>933</v>
      </c>
      <c r="E323" s="139">
        <v>605</v>
      </c>
      <c r="F323" s="4" t="s">
        <v>79</v>
      </c>
      <c r="G323" s="4" t="s">
        <v>121</v>
      </c>
      <c r="H323" s="4"/>
    </row>
    <row r="324" spans="1:8" ht="15.6">
      <c r="A324" s="139" t="s">
        <v>934</v>
      </c>
      <c r="B324" s="139" t="s">
        <v>935</v>
      </c>
      <c r="C324" s="140">
        <v>2.58</v>
      </c>
      <c r="D324" s="139" t="s">
        <v>839</v>
      </c>
      <c r="E324" s="139">
        <v>650</v>
      </c>
      <c r="F324" s="4" t="s">
        <v>79</v>
      </c>
      <c r="G324" s="4" t="s">
        <v>278</v>
      </c>
      <c r="H324" s="4"/>
    </row>
    <row r="325" spans="1:8" ht="15.6">
      <c r="A325" s="139" t="s">
        <v>936</v>
      </c>
      <c r="B325" s="139" t="s">
        <v>937</v>
      </c>
      <c r="C325" s="140">
        <v>1.74</v>
      </c>
      <c r="D325" s="139" t="s">
        <v>842</v>
      </c>
      <c r="E325" s="139">
        <v>618</v>
      </c>
      <c r="F325" s="4" t="s">
        <v>79</v>
      </c>
      <c r="G325" s="4" t="s">
        <v>107</v>
      </c>
      <c r="H325" s="4"/>
    </row>
    <row r="326" spans="1:8" ht="15.6">
      <c r="A326" s="139" t="s">
        <v>938</v>
      </c>
      <c r="B326" s="139" t="s">
        <v>937</v>
      </c>
      <c r="C326" s="140">
        <v>1.96</v>
      </c>
      <c r="D326" s="139" t="s">
        <v>939</v>
      </c>
      <c r="E326" s="139">
        <v>680</v>
      </c>
      <c r="F326" s="4" t="s">
        <v>79</v>
      </c>
      <c r="G326" s="4" t="s">
        <v>107</v>
      </c>
      <c r="H326" s="4"/>
    </row>
    <row r="327" spans="1:8" ht="15.6">
      <c r="A327" s="139" t="s">
        <v>940</v>
      </c>
      <c r="B327" s="139" t="s">
        <v>941</v>
      </c>
      <c r="C327" s="140">
        <v>6.24</v>
      </c>
      <c r="D327" s="139" t="s">
        <v>942</v>
      </c>
      <c r="E327" s="139">
        <v>1400</v>
      </c>
      <c r="F327" s="4" t="s">
        <v>86</v>
      </c>
      <c r="G327" s="4" t="s">
        <v>114</v>
      </c>
      <c r="H327" s="4"/>
    </row>
    <row r="328" spans="1:8" ht="15.6">
      <c r="A328" s="139" t="s">
        <v>943</v>
      </c>
      <c r="B328" s="139" t="s">
        <v>944</v>
      </c>
      <c r="C328" s="140">
        <v>6.61</v>
      </c>
      <c r="D328" s="139" t="s">
        <v>945</v>
      </c>
      <c r="E328" s="139">
        <v>1540</v>
      </c>
      <c r="F328" s="4" t="s">
        <v>86</v>
      </c>
      <c r="G328" s="4" t="s">
        <v>114</v>
      </c>
      <c r="H328" s="4"/>
    </row>
    <row r="329" spans="1:8" ht="15.6">
      <c r="A329" s="139" t="s">
        <v>946</v>
      </c>
      <c r="B329" s="139" t="s">
        <v>947</v>
      </c>
      <c r="C329" s="140">
        <v>7.43</v>
      </c>
      <c r="D329" s="139" t="s">
        <v>948</v>
      </c>
      <c r="E329" s="139">
        <v>1815</v>
      </c>
      <c r="F329" s="4" t="s">
        <v>86</v>
      </c>
      <c r="G329" s="4" t="s">
        <v>114</v>
      </c>
      <c r="H329" s="4"/>
    </row>
    <row r="330" spans="1:8" ht="15.6">
      <c r="A330" s="139" t="s">
        <v>949</v>
      </c>
      <c r="B330" s="139" t="s">
        <v>950</v>
      </c>
      <c r="C330" s="140">
        <v>4.92</v>
      </c>
      <c r="D330" s="139" t="s">
        <v>951</v>
      </c>
      <c r="E330" s="139">
        <v>1085</v>
      </c>
      <c r="F330" s="4" t="s">
        <v>86</v>
      </c>
      <c r="G330" s="4" t="s">
        <v>114</v>
      </c>
      <c r="H330" s="4"/>
    </row>
    <row r="331" spans="1:8" ht="15.6">
      <c r="A331" s="139" t="s">
        <v>952</v>
      </c>
      <c r="B331" s="139" t="s">
        <v>953</v>
      </c>
      <c r="C331" s="140">
        <v>5.43</v>
      </c>
      <c r="D331" s="139" t="s">
        <v>954</v>
      </c>
      <c r="E331" s="139">
        <v>1210</v>
      </c>
      <c r="F331" s="4" t="s">
        <v>86</v>
      </c>
      <c r="G331" s="4" t="s">
        <v>114</v>
      </c>
      <c r="H331" s="4"/>
    </row>
    <row r="332" spans="1:8" ht="15.6">
      <c r="C332" s="140"/>
    </row>
    <row r="333" spans="1:8" ht="13.2">
      <c r="C333" s="145"/>
    </row>
    <row r="334" spans="1:8" ht="13.2">
      <c r="C334" s="145"/>
    </row>
    <row r="335" spans="1:8" ht="13.2">
      <c r="C335" s="145"/>
    </row>
    <row r="336" spans="1:8" ht="13.2">
      <c r="C336" s="145"/>
    </row>
    <row r="337" spans="3:3" ht="13.2">
      <c r="C337" s="145"/>
    </row>
    <row r="338" spans="3:3" ht="13.2">
      <c r="C338" s="145"/>
    </row>
    <row r="339" spans="3:3" ht="13.2">
      <c r="C339" s="145"/>
    </row>
    <row r="340" spans="3:3" ht="13.2">
      <c r="C340" s="145"/>
    </row>
    <row r="341" spans="3:3" ht="13.2">
      <c r="C341" s="145"/>
    </row>
    <row r="342" spans="3:3" ht="13.2">
      <c r="C342" s="145"/>
    </row>
    <row r="343" spans="3:3" ht="13.2">
      <c r="C343" s="145"/>
    </row>
    <row r="344" spans="3:3" ht="13.2">
      <c r="C344" s="145"/>
    </row>
    <row r="345" spans="3:3" ht="13.2">
      <c r="C345" s="145"/>
    </row>
    <row r="346" spans="3:3" ht="13.2">
      <c r="C346" s="145"/>
    </row>
    <row r="347" spans="3:3" ht="13.2">
      <c r="C347" s="145"/>
    </row>
    <row r="348" spans="3:3" ht="13.2">
      <c r="C348" s="145"/>
    </row>
    <row r="349" spans="3:3" ht="13.2">
      <c r="C349" s="145"/>
    </row>
    <row r="350" spans="3:3" ht="13.2">
      <c r="C350" s="145"/>
    </row>
    <row r="351" spans="3:3" ht="13.2">
      <c r="C351" s="145"/>
    </row>
    <row r="352" spans="3:3" ht="13.2">
      <c r="C352" s="145"/>
    </row>
  </sheetData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K120"/>
  <sheetViews>
    <sheetView zoomScale="74" zoomScaleNormal="74" workbookViewId="0">
      <selection activeCell="G17" sqref="G17"/>
    </sheetView>
  </sheetViews>
  <sheetFormatPr defaultColWidth="11.5546875" defaultRowHeight="12.75" customHeight="1"/>
  <sheetData>
    <row r="1" spans="1:11" ht="13.2"/>
    <row r="2" spans="1:11" ht="15.6">
      <c r="A2" s="260">
        <v>1</v>
      </c>
      <c r="C2" s="85"/>
      <c r="D2" s="85" t="s">
        <v>56</v>
      </c>
      <c r="E2" s="85" t="s">
        <v>57</v>
      </c>
      <c r="F2" s="261" t="s">
        <v>58</v>
      </c>
      <c r="G2" s="261"/>
      <c r="H2" s="87" t="s">
        <v>59</v>
      </c>
      <c r="J2" s="262" t="s">
        <v>60</v>
      </c>
      <c r="K2" s="262"/>
    </row>
    <row r="3" spans="1:11" ht="13.2">
      <c r="A3" s="260"/>
      <c r="B3" s="89" t="s">
        <v>61</v>
      </c>
      <c r="C3" s="85"/>
      <c r="D3" s="85">
        <f>Kalk!E4</f>
        <v>0</v>
      </c>
      <c r="E3" s="85">
        <f>Kalk!G4</f>
        <v>0</v>
      </c>
      <c r="F3" s="87">
        <f>D3</f>
        <v>0</v>
      </c>
      <c r="G3" s="87">
        <f>E3</f>
        <v>0</v>
      </c>
      <c r="H3" s="90">
        <f>(F3*G3)/1000000</f>
        <v>0</v>
      </c>
      <c r="I3" s="91" t="e">
        <f>I12/H3</f>
        <v>#DIV/0!</v>
      </c>
      <c r="J3" s="92">
        <f>D3</f>
        <v>0</v>
      </c>
      <c r="K3" s="92">
        <f>E3</f>
        <v>0</v>
      </c>
    </row>
    <row r="4" spans="1:11" ht="13.2">
      <c r="A4" s="260"/>
      <c r="B4" s="89" t="s">
        <v>62</v>
      </c>
      <c r="C4" s="6"/>
      <c r="D4" s="6"/>
      <c r="E4" s="6"/>
      <c r="F4" s="87">
        <f>D3</f>
        <v>0</v>
      </c>
      <c r="G4" s="87">
        <f>E3</f>
        <v>0</v>
      </c>
      <c r="H4" s="93">
        <f>F4*G4/1000000</f>
        <v>0</v>
      </c>
      <c r="I4" s="91" t="e">
        <f>I12/H4</f>
        <v>#DIV/0!</v>
      </c>
      <c r="J4" s="92">
        <f>D3</f>
        <v>0</v>
      </c>
      <c r="K4" s="92">
        <f>E3</f>
        <v>0</v>
      </c>
    </row>
    <row r="5" spans="1:11" ht="13.2">
      <c r="A5" s="260"/>
      <c r="B5" s="89"/>
      <c r="C5" s="6"/>
      <c r="D5" s="6"/>
      <c r="E5" s="6"/>
      <c r="F5" s="87">
        <f>D3</f>
        <v>0</v>
      </c>
      <c r="G5" s="87">
        <f>E3</f>
        <v>0</v>
      </c>
      <c r="H5" s="93">
        <f>F5*G5/1000000</f>
        <v>0</v>
      </c>
      <c r="I5" s="91" t="e">
        <f>I12/H5</f>
        <v>#DIV/0!</v>
      </c>
      <c r="J5" s="92">
        <f>D3</f>
        <v>0</v>
      </c>
      <c r="K5" s="92">
        <f>E3</f>
        <v>0</v>
      </c>
    </row>
    <row r="6" spans="1:11" ht="13.2">
      <c r="A6" s="260"/>
      <c r="B6" s="89"/>
      <c r="C6" s="6"/>
      <c r="D6" s="6"/>
      <c r="E6" s="6"/>
      <c r="F6" s="87">
        <f>D3</f>
        <v>0</v>
      </c>
      <c r="G6" s="87">
        <f>E3</f>
        <v>0</v>
      </c>
      <c r="H6" s="93">
        <f>F6*G6/1000000</f>
        <v>0</v>
      </c>
      <c r="I6" s="91" t="e">
        <f>I12/H6</f>
        <v>#DIV/0!</v>
      </c>
      <c r="J6" s="92">
        <f>D3</f>
        <v>0</v>
      </c>
      <c r="K6" s="92">
        <f>E3</f>
        <v>0</v>
      </c>
    </row>
    <row r="7" spans="1:11" ht="13.2">
      <c r="A7" s="260"/>
      <c r="E7" t="s">
        <v>35</v>
      </c>
    </row>
    <row r="8" spans="1:11" ht="12.9" customHeight="1">
      <c r="A8" s="260"/>
      <c r="B8" s="263"/>
      <c r="C8" s="263"/>
      <c r="D8" s="263"/>
      <c r="F8" s="261"/>
      <c r="G8" s="261"/>
      <c r="H8" s="87"/>
      <c r="I8" s="264" t="s">
        <v>63</v>
      </c>
    </row>
    <row r="9" spans="1:11" ht="13.2">
      <c r="A9" s="260"/>
      <c r="B9" s="96"/>
      <c r="C9" s="97"/>
      <c r="D9" s="98"/>
      <c r="E9" s="89"/>
      <c r="F9" s="87"/>
      <c r="G9" s="87"/>
      <c r="H9" s="90"/>
      <c r="I9" s="264"/>
    </row>
    <row r="10" spans="1:11" ht="13.2">
      <c r="A10" s="260"/>
      <c r="B10" s="96"/>
      <c r="C10" s="97"/>
      <c r="D10" s="98"/>
      <c r="E10" s="89"/>
      <c r="F10" s="87"/>
      <c r="G10" s="87"/>
      <c r="H10" s="90"/>
      <c r="I10" s="99">
        <v>500</v>
      </c>
    </row>
    <row r="11" spans="1:11" ht="13.2">
      <c r="A11" s="260"/>
      <c r="B11" s="96"/>
      <c r="C11" s="97"/>
      <c r="D11" s="98"/>
      <c r="E11" s="89"/>
      <c r="F11" s="87"/>
      <c r="G11" s="87"/>
      <c r="H11" s="90"/>
      <c r="I11" s="100"/>
    </row>
    <row r="12" spans="1:11" ht="13.2">
      <c r="A12" s="260"/>
      <c r="B12" s="101"/>
      <c r="C12" s="102"/>
      <c r="D12" s="103"/>
      <c r="E12" s="89"/>
      <c r="F12" s="87"/>
      <c r="G12" s="87"/>
      <c r="H12" s="90"/>
      <c r="I12" s="87"/>
    </row>
    <row r="13" spans="1:11" ht="13.2"/>
    <row r="14" spans="1:11" ht="15.6">
      <c r="A14" s="260">
        <v>2</v>
      </c>
      <c r="C14" s="85"/>
      <c r="D14" s="85" t="s">
        <v>56</v>
      </c>
      <c r="E14" s="85" t="s">
        <v>57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1" ht="13.2">
      <c r="A15" s="260"/>
      <c r="B15" s="89" t="s">
        <v>61</v>
      </c>
      <c r="C15" s="85"/>
      <c r="D15" s="85">
        <f>Kalk!E8</f>
        <v>0</v>
      </c>
      <c r="E15" s="85">
        <f>Kalk!G8</f>
        <v>0</v>
      </c>
      <c r="F15" s="87">
        <f>D15</f>
        <v>0</v>
      </c>
      <c r="G15" s="87">
        <f>E15</f>
        <v>0</v>
      </c>
      <c r="H15" s="90">
        <f>(F15*G15)/1000000</f>
        <v>0</v>
      </c>
      <c r="I15" s="91" t="e">
        <f>I24/H15</f>
        <v>#DIV/0!</v>
      </c>
      <c r="J15" s="92">
        <f>D15</f>
        <v>0</v>
      </c>
      <c r="K15" s="92">
        <f>E15</f>
        <v>0</v>
      </c>
    </row>
    <row r="16" spans="1:11" ht="13.2">
      <c r="A16" s="260"/>
      <c r="B16" s="89" t="s">
        <v>62</v>
      </c>
      <c r="C16" s="6"/>
      <c r="D16" s="6"/>
      <c r="E16" s="6"/>
      <c r="F16" s="87">
        <f>D15</f>
        <v>0</v>
      </c>
      <c r="G16" s="87">
        <f>E15</f>
        <v>0</v>
      </c>
      <c r="H16" s="93">
        <f>F16*G16/1000000</f>
        <v>0</v>
      </c>
      <c r="I16" s="91" t="e">
        <f>I24/H16</f>
        <v>#DIV/0!</v>
      </c>
      <c r="J16" s="92">
        <f>D15</f>
        <v>0</v>
      </c>
      <c r="K16" s="92">
        <f>E15</f>
        <v>0</v>
      </c>
    </row>
    <row r="17" spans="1:11" ht="13.2">
      <c r="A17" s="260"/>
      <c r="B17" s="89"/>
      <c r="C17" s="6"/>
      <c r="D17" s="6"/>
      <c r="E17" s="6"/>
      <c r="F17" s="87">
        <f>D15</f>
        <v>0</v>
      </c>
      <c r="G17" s="87">
        <f>E15</f>
        <v>0</v>
      </c>
      <c r="H17" s="93">
        <f>F17*G17/1000000</f>
        <v>0</v>
      </c>
      <c r="I17" s="91" t="e">
        <f>I24/H17</f>
        <v>#DIV/0!</v>
      </c>
      <c r="J17" s="92">
        <f>D15</f>
        <v>0</v>
      </c>
      <c r="K17" s="92">
        <f>E15</f>
        <v>0</v>
      </c>
    </row>
    <row r="18" spans="1:11" ht="13.2">
      <c r="A18" s="260"/>
      <c r="B18" s="89"/>
      <c r="C18" s="6"/>
      <c r="D18" s="6"/>
      <c r="E18" s="6"/>
      <c r="F18" s="87">
        <f>D15</f>
        <v>0</v>
      </c>
      <c r="G18" s="87">
        <f>E15</f>
        <v>0</v>
      </c>
      <c r="H18" s="93">
        <f>F18*G18/1000000</f>
        <v>0</v>
      </c>
      <c r="I18" s="91" t="e">
        <f>I24/H18</f>
        <v>#DIV/0!</v>
      </c>
      <c r="J18" s="92">
        <f>D15</f>
        <v>0</v>
      </c>
      <c r="K18" s="92">
        <f>E15</f>
        <v>0</v>
      </c>
    </row>
    <row r="19" spans="1:11" ht="13.2">
      <c r="A19" s="260"/>
      <c r="E19" t="s">
        <v>35</v>
      </c>
    </row>
    <row r="20" spans="1:11" ht="12.9" customHeight="1">
      <c r="A20" s="260"/>
      <c r="B20" s="263"/>
      <c r="C20" s="263"/>
      <c r="D20" s="263"/>
      <c r="F20" s="261"/>
      <c r="G20" s="261"/>
      <c r="H20" s="87"/>
      <c r="I20" s="264" t="s">
        <v>63</v>
      </c>
    </row>
    <row r="21" spans="1:11" ht="13.2">
      <c r="A21" s="260"/>
      <c r="B21" s="96"/>
      <c r="C21" s="97"/>
      <c r="D21" s="98"/>
      <c r="E21" s="89"/>
      <c r="F21" s="87"/>
      <c r="G21" s="87"/>
      <c r="H21" s="90"/>
      <c r="I21" s="264"/>
    </row>
    <row r="22" spans="1:11" ht="13.2">
      <c r="A22" s="260"/>
      <c r="B22" s="96"/>
      <c r="C22" s="97"/>
      <c r="D22" s="98"/>
      <c r="E22" s="89"/>
      <c r="F22" s="87"/>
      <c r="G22" s="87"/>
      <c r="H22" s="90"/>
      <c r="I22" s="99">
        <v>500</v>
      </c>
    </row>
    <row r="23" spans="1:11" ht="13.2">
      <c r="A23" s="260"/>
      <c r="B23" s="96"/>
      <c r="C23" s="97"/>
      <c r="D23" s="98"/>
      <c r="E23" s="89"/>
      <c r="F23" s="87"/>
      <c r="G23" s="87"/>
      <c r="H23" s="90"/>
      <c r="I23" s="100"/>
    </row>
    <row r="24" spans="1:11" ht="13.2">
      <c r="A24" s="260"/>
      <c r="B24" s="101"/>
      <c r="C24" s="102"/>
      <c r="D24" s="103"/>
      <c r="E24" s="89"/>
      <c r="F24" s="87"/>
      <c r="G24" s="87"/>
      <c r="H24" s="90"/>
      <c r="I24" s="87"/>
    </row>
    <row r="25" spans="1:11" ht="13.2"/>
    <row r="26" spans="1:11" ht="15.6">
      <c r="A26" s="260">
        <v>3</v>
      </c>
      <c r="C26" s="85"/>
      <c r="D26" s="85" t="s">
        <v>56</v>
      </c>
      <c r="E26" s="85" t="s">
        <v>57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1" ht="13.2">
      <c r="A27" s="260"/>
      <c r="B27" s="89" t="s">
        <v>61</v>
      </c>
      <c r="C27" s="85"/>
      <c r="D27" s="85">
        <f>Kalk!E12</f>
        <v>0</v>
      </c>
      <c r="E27" s="85">
        <f>Kalk!G12</f>
        <v>0</v>
      </c>
      <c r="F27" s="87">
        <f>D27</f>
        <v>0</v>
      </c>
      <c r="G27" s="87">
        <f>E27</f>
        <v>0</v>
      </c>
      <c r="H27" s="90">
        <f>(F27*G27)/1000000</f>
        <v>0</v>
      </c>
      <c r="I27" s="91" t="e">
        <f>I36/H27</f>
        <v>#DIV/0!</v>
      </c>
      <c r="J27" s="92">
        <f>D27</f>
        <v>0</v>
      </c>
      <c r="K27" s="92">
        <f>E27</f>
        <v>0</v>
      </c>
    </row>
    <row r="28" spans="1:11" ht="13.2">
      <c r="A28" s="260"/>
      <c r="B28" s="89" t="s">
        <v>62</v>
      </c>
      <c r="C28" s="6"/>
      <c r="D28" s="6"/>
      <c r="E28" s="6"/>
      <c r="F28" s="87">
        <f>D27</f>
        <v>0</v>
      </c>
      <c r="G28" s="87">
        <f>E27</f>
        <v>0</v>
      </c>
      <c r="H28" s="93">
        <f>F28*G28/1000000</f>
        <v>0</v>
      </c>
      <c r="I28" s="91" t="e">
        <f>I36/H28</f>
        <v>#DIV/0!</v>
      </c>
      <c r="J28" s="92">
        <f>D27</f>
        <v>0</v>
      </c>
      <c r="K28" s="92">
        <f>E27</f>
        <v>0</v>
      </c>
    </row>
    <row r="29" spans="1:11" ht="13.2">
      <c r="A29" s="260"/>
      <c r="B29" s="89"/>
      <c r="C29" s="6"/>
      <c r="D29" s="6"/>
      <c r="E29" s="6"/>
      <c r="F29" s="87">
        <f>D27</f>
        <v>0</v>
      </c>
      <c r="G29" s="87">
        <f>E27</f>
        <v>0</v>
      </c>
      <c r="H29" s="93">
        <f>F29*G29/1000000</f>
        <v>0</v>
      </c>
      <c r="I29" s="91" t="e">
        <f>I36/H29</f>
        <v>#DIV/0!</v>
      </c>
      <c r="J29" s="92">
        <f>D27</f>
        <v>0</v>
      </c>
      <c r="K29" s="92">
        <f>E27</f>
        <v>0</v>
      </c>
    </row>
    <row r="30" spans="1:11" ht="13.2">
      <c r="A30" s="260"/>
      <c r="B30" s="89"/>
      <c r="C30" s="6"/>
      <c r="D30" s="6"/>
      <c r="E30" s="6"/>
      <c r="F30" s="87">
        <f>D27</f>
        <v>0</v>
      </c>
      <c r="G30" s="87">
        <f>E27</f>
        <v>0</v>
      </c>
      <c r="H30" s="93">
        <f>F30*G30/1000000</f>
        <v>0</v>
      </c>
      <c r="I30" s="91" t="e">
        <f>I36/H30</f>
        <v>#DIV/0!</v>
      </c>
      <c r="J30" s="92">
        <f>D27</f>
        <v>0</v>
      </c>
      <c r="K30" s="92">
        <f>E27</f>
        <v>0</v>
      </c>
    </row>
    <row r="31" spans="1:11" ht="13.2">
      <c r="A31" s="260"/>
      <c r="E31" t="s">
        <v>35</v>
      </c>
    </row>
    <row r="32" spans="1:11" ht="12.9" customHeight="1">
      <c r="A32" s="260"/>
      <c r="B32" s="263"/>
      <c r="C32" s="263"/>
      <c r="D32" s="263"/>
      <c r="F32" s="261"/>
      <c r="G32" s="261"/>
      <c r="H32" s="87"/>
      <c r="I32" s="264" t="s">
        <v>63</v>
      </c>
    </row>
    <row r="33" spans="1:11" ht="13.2">
      <c r="A33" s="260"/>
      <c r="B33" s="96"/>
      <c r="C33" s="97"/>
      <c r="D33" s="98"/>
      <c r="E33" s="89"/>
      <c r="F33" s="87"/>
      <c r="G33" s="87"/>
      <c r="H33" s="90"/>
      <c r="I33" s="264"/>
    </row>
    <row r="34" spans="1:11" ht="13.2">
      <c r="A34" s="260"/>
      <c r="B34" s="96"/>
      <c r="C34" s="97"/>
      <c r="D34" s="98"/>
      <c r="E34" s="89"/>
      <c r="F34" s="87"/>
      <c r="G34" s="87"/>
      <c r="H34" s="90"/>
      <c r="I34" s="99">
        <v>500</v>
      </c>
    </row>
    <row r="35" spans="1:11" ht="13.2">
      <c r="A35" s="260"/>
      <c r="B35" s="96"/>
      <c r="C35" s="97"/>
      <c r="D35" s="98"/>
      <c r="E35" s="89"/>
      <c r="F35" s="87"/>
      <c r="G35" s="87"/>
      <c r="H35" s="90"/>
      <c r="I35" s="100"/>
    </row>
    <row r="36" spans="1:11" ht="13.2">
      <c r="A36" s="260"/>
      <c r="B36" s="101"/>
      <c r="C36" s="102"/>
      <c r="D36" s="103"/>
      <c r="E36" s="89"/>
      <c r="F36" s="87"/>
      <c r="G36" s="87"/>
      <c r="H36" s="90"/>
      <c r="I36" s="87"/>
    </row>
    <row r="37" spans="1:11" ht="13.2"/>
    <row r="38" spans="1:11" ht="15.6">
      <c r="A38" s="260">
        <v>4</v>
      </c>
      <c r="C38" s="85"/>
      <c r="D38" s="85" t="s">
        <v>56</v>
      </c>
      <c r="E38" s="85" t="s">
        <v>57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1" ht="13.2">
      <c r="A39" s="260"/>
      <c r="B39" s="89" t="s">
        <v>61</v>
      </c>
      <c r="C39" s="85"/>
      <c r="D39" s="85">
        <f>Kalk!E16</f>
        <v>0</v>
      </c>
      <c r="E39" s="85">
        <f>Kalk!G16</f>
        <v>0</v>
      </c>
      <c r="F39" s="87">
        <f>D39</f>
        <v>0</v>
      </c>
      <c r="G39" s="87">
        <f>E39</f>
        <v>0</v>
      </c>
      <c r="H39" s="90">
        <f>(F39*G39)/1000000</f>
        <v>0</v>
      </c>
      <c r="I39" s="91" t="e">
        <f>I46/H39</f>
        <v>#DIV/0!</v>
      </c>
      <c r="J39" s="92">
        <f>D39</f>
        <v>0</v>
      </c>
      <c r="K39" s="92">
        <f>E39</f>
        <v>0</v>
      </c>
    </row>
    <row r="40" spans="1:11" ht="13.2">
      <c r="A40" s="260"/>
      <c r="B40" s="89" t="s">
        <v>62</v>
      </c>
      <c r="C40" s="6"/>
      <c r="D40" s="6"/>
      <c r="E40" s="6"/>
      <c r="F40" s="87">
        <f>D39</f>
        <v>0</v>
      </c>
      <c r="G40" s="87">
        <f>E39</f>
        <v>0</v>
      </c>
      <c r="H40" s="93">
        <f>F40*G40/1000000</f>
        <v>0</v>
      </c>
      <c r="I40" s="91" t="e">
        <f>I46/H40</f>
        <v>#DIV/0!</v>
      </c>
      <c r="J40" s="92">
        <f>D39</f>
        <v>0</v>
      </c>
      <c r="K40" s="92">
        <f>E39</f>
        <v>0</v>
      </c>
    </row>
    <row r="41" spans="1:11" ht="13.2">
      <c r="A41" s="260"/>
      <c r="B41" s="89"/>
      <c r="C41" s="6"/>
      <c r="D41" s="6"/>
      <c r="E41" s="6"/>
      <c r="F41" s="87">
        <f>D39</f>
        <v>0</v>
      </c>
      <c r="G41" s="87">
        <f>E39</f>
        <v>0</v>
      </c>
      <c r="H41" s="93">
        <f>F41*G41/1000000</f>
        <v>0</v>
      </c>
      <c r="I41" s="91" t="e">
        <f>I46/H41</f>
        <v>#DIV/0!</v>
      </c>
      <c r="J41" s="92">
        <f>D39</f>
        <v>0</v>
      </c>
      <c r="K41" s="92">
        <f>E39</f>
        <v>0</v>
      </c>
    </row>
    <row r="42" spans="1:11" ht="13.2">
      <c r="A42" s="260"/>
      <c r="B42" s="89"/>
      <c r="C42" s="6"/>
      <c r="D42" s="6"/>
      <c r="E42" s="6"/>
      <c r="F42" s="87">
        <f>D39</f>
        <v>0</v>
      </c>
      <c r="G42" s="87">
        <f>E39</f>
        <v>0</v>
      </c>
      <c r="H42" s="93">
        <f>F42*G42/1000000</f>
        <v>0</v>
      </c>
      <c r="I42" s="91" t="e">
        <f>I46/H42</f>
        <v>#DIV/0!</v>
      </c>
      <c r="J42" s="92">
        <f>D39</f>
        <v>0</v>
      </c>
      <c r="K42" s="92">
        <f>E39</f>
        <v>0</v>
      </c>
    </row>
    <row r="43" spans="1:11" ht="13.2">
      <c r="A43" s="260"/>
      <c r="E43" t="s">
        <v>35</v>
      </c>
    </row>
    <row r="44" spans="1:11" ht="12.9" customHeight="1">
      <c r="A44" s="260"/>
      <c r="B44" s="263"/>
      <c r="C44" s="263"/>
      <c r="D44" s="263"/>
      <c r="F44" s="261"/>
      <c r="G44" s="261"/>
      <c r="H44" s="87"/>
      <c r="I44" s="264" t="s">
        <v>63</v>
      </c>
    </row>
    <row r="45" spans="1:11" ht="13.2">
      <c r="A45" s="260"/>
      <c r="B45" s="96"/>
      <c r="C45" s="97"/>
      <c r="D45" s="98"/>
      <c r="E45" s="89"/>
      <c r="F45" s="87"/>
      <c r="G45" s="87"/>
      <c r="H45" s="90"/>
      <c r="I45" s="264"/>
    </row>
    <row r="46" spans="1:11" ht="13.2">
      <c r="A46" s="260"/>
      <c r="B46" s="101"/>
      <c r="C46" s="102"/>
      <c r="D46" s="103"/>
      <c r="E46" s="89"/>
      <c r="F46" s="87"/>
      <c r="G46" s="87"/>
      <c r="H46" s="90"/>
      <c r="I46" s="99">
        <v>500</v>
      </c>
    </row>
    <row r="47" spans="1:11" ht="13.2">
      <c r="A47" s="260"/>
      <c r="B47" s="101"/>
      <c r="C47" s="102"/>
      <c r="D47" s="103"/>
      <c r="E47" s="89"/>
      <c r="F47" s="87"/>
      <c r="G47" s="87"/>
      <c r="H47" s="90"/>
      <c r="I47" s="87"/>
    </row>
    <row r="48" spans="1:11" ht="13.2">
      <c r="A48" s="260"/>
      <c r="B48" s="101"/>
      <c r="C48" s="102"/>
      <c r="D48" s="103"/>
      <c r="E48" s="89"/>
      <c r="F48" s="87"/>
      <c r="G48" s="87"/>
      <c r="H48" s="90"/>
      <c r="I48" s="87"/>
    </row>
    <row r="49" spans="1:11" ht="13.2"/>
    <row r="50" spans="1:11" ht="15.6">
      <c r="A50" s="260">
        <v>5</v>
      </c>
      <c r="C50" s="85"/>
      <c r="D50" s="85" t="s">
        <v>56</v>
      </c>
      <c r="E50" s="85" t="s">
        <v>57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1" ht="13.2">
      <c r="A51" s="260"/>
      <c r="B51" s="89" t="s">
        <v>61</v>
      </c>
      <c r="C51" s="85"/>
      <c r="D51" s="85">
        <f>Kalk!E20</f>
        <v>0</v>
      </c>
      <c r="E51" s="85">
        <f>Kalk!G20</f>
        <v>0</v>
      </c>
      <c r="F51" s="87">
        <f>D51</f>
        <v>0</v>
      </c>
      <c r="G51" s="87">
        <f>E51</f>
        <v>0</v>
      </c>
      <c r="H51" s="90">
        <f>(F51*G51)/1000000</f>
        <v>0</v>
      </c>
      <c r="I51" s="91" t="e">
        <f>I60/H51</f>
        <v>#DIV/0!</v>
      </c>
      <c r="J51" s="92">
        <f>D51</f>
        <v>0</v>
      </c>
      <c r="K51" s="92">
        <f>E51</f>
        <v>0</v>
      </c>
    </row>
    <row r="52" spans="1:11" ht="13.2">
      <c r="A52" s="260"/>
      <c r="B52" s="89" t="s">
        <v>62</v>
      </c>
      <c r="C52" s="6"/>
      <c r="D52" s="6"/>
      <c r="E52" s="6"/>
      <c r="F52" s="87">
        <f>D51</f>
        <v>0</v>
      </c>
      <c r="G52" s="87">
        <f>E51</f>
        <v>0</v>
      </c>
      <c r="H52" s="93">
        <f>F52*G52/1000000</f>
        <v>0</v>
      </c>
      <c r="I52" s="91" t="e">
        <f>I60/H52</f>
        <v>#DIV/0!</v>
      </c>
      <c r="J52" s="92">
        <f>D51</f>
        <v>0</v>
      </c>
      <c r="K52" s="92">
        <f>E51</f>
        <v>0</v>
      </c>
    </row>
    <row r="53" spans="1:11" ht="13.2">
      <c r="A53" s="260"/>
      <c r="B53" s="89"/>
      <c r="C53" s="6"/>
      <c r="D53" s="6"/>
      <c r="E53" s="6"/>
      <c r="F53" s="87">
        <f>D51</f>
        <v>0</v>
      </c>
      <c r="G53" s="87">
        <f>E51</f>
        <v>0</v>
      </c>
      <c r="H53" s="93">
        <f>F53*G53/1000000</f>
        <v>0</v>
      </c>
      <c r="I53" s="91" t="e">
        <f>I60/H53</f>
        <v>#DIV/0!</v>
      </c>
      <c r="J53" s="92">
        <f>D51</f>
        <v>0</v>
      </c>
      <c r="K53" s="92">
        <f>E51</f>
        <v>0</v>
      </c>
    </row>
    <row r="54" spans="1:11" ht="13.2">
      <c r="A54" s="260"/>
      <c r="B54" s="89"/>
      <c r="C54" s="6"/>
      <c r="D54" s="6"/>
      <c r="E54" s="6"/>
      <c r="F54" s="87">
        <f>D51</f>
        <v>0</v>
      </c>
      <c r="G54" s="87">
        <f>E51</f>
        <v>0</v>
      </c>
      <c r="H54" s="93">
        <f>F54*G54/1000000</f>
        <v>0</v>
      </c>
      <c r="I54" s="91" t="e">
        <f>I60/H54</f>
        <v>#DIV/0!</v>
      </c>
      <c r="J54" s="92">
        <f>D51</f>
        <v>0</v>
      </c>
      <c r="K54" s="92">
        <f>E51</f>
        <v>0</v>
      </c>
    </row>
    <row r="55" spans="1:11" ht="13.2">
      <c r="A55" s="260"/>
      <c r="E55" t="s">
        <v>35</v>
      </c>
    </row>
    <row r="56" spans="1:11" ht="12.9" customHeight="1">
      <c r="A56" s="260"/>
      <c r="B56" s="263"/>
      <c r="C56" s="263"/>
      <c r="D56" s="263"/>
      <c r="F56" s="261"/>
      <c r="G56" s="261"/>
      <c r="H56" s="87"/>
      <c r="I56" s="264" t="s">
        <v>63</v>
      </c>
    </row>
    <row r="57" spans="1:11" ht="13.2">
      <c r="A57" s="260"/>
      <c r="B57" s="96"/>
      <c r="C57" s="97"/>
      <c r="D57" s="98"/>
      <c r="E57" s="89"/>
      <c r="F57" s="87"/>
      <c r="G57" s="87"/>
      <c r="H57" s="90"/>
      <c r="I57" s="264"/>
    </row>
    <row r="58" spans="1:11" ht="13.2">
      <c r="A58" s="260"/>
      <c r="B58" s="96"/>
      <c r="C58" s="97"/>
      <c r="D58" s="98"/>
      <c r="E58" s="89"/>
      <c r="F58" s="87"/>
      <c r="G58" s="87"/>
      <c r="H58" s="90"/>
      <c r="I58" s="99">
        <v>500</v>
      </c>
    </row>
    <row r="59" spans="1:11" ht="13.2">
      <c r="A59" s="260"/>
      <c r="B59" s="96"/>
      <c r="C59" s="97"/>
      <c r="D59" s="98"/>
      <c r="E59" s="89"/>
      <c r="F59" s="87"/>
      <c r="G59" s="87"/>
      <c r="H59" s="90"/>
      <c r="I59" s="100"/>
    </row>
    <row r="60" spans="1:11" ht="13.2">
      <c r="A60" s="260"/>
      <c r="B60" s="101"/>
      <c r="C60" s="102"/>
      <c r="D60" s="103"/>
      <c r="E60" s="89"/>
      <c r="F60" s="87"/>
      <c r="G60" s="87"/>
      <c r="H60" s="90"/>
      <c r="I60" s="87"/>
    </row>
    <row r="61" spans="1:11" ht="13.2"/>
    <row r="62" spans="1:11" ht="15.6">
      <c r="A62" s="260">
        <v>6</v>
      </c>
      <c r="C62" s="85"/>
      <c r="D62" s="85" t="s">
        <v>56</v>
      </c>
      <c r="E62" s="85" t="s">
        <v>57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1" ht="13.2">
      <c r="A63" s="260"/>
      <c r="B63" s="89" t="s">
        <v>61</v>
      </c>
      <c r="C63" s="85"/>
      <c r="D63" s="85">
        <f>Kalk!E24</f>
        <v>0</v>
      </c>
      <c r="E63" s="85">
        <f>Kalk!G24</f>
        <v>0</v>
      </c>
      <c r="F63" s="87">
        <f>D63</f>
        <v>0</v>
      </c>
      <c r="G63" s="87">
        <f>E63</f>
        <v>0</v>
      </c>
      <c r="H63" s="90">
        <f>(F63*G63)/1000000</f>
        <v>0</v>
      </c>
      <c r="I63" s="91" t="e">
        <f>I72/H63</f>
        <v>#DIV/0!</v>
      </c>
      <c r="J63" s="92">
        <f>D63</f>
        <v>0</v>
      </c>
      <c r="K63" s="92">
        <f>E63</f>
        <v>0</v>
      </c>
    </row>
    <row r="64" spans="1:11" ht="13.2">
      <c r="A64" s="260"/>
      <c r="B64" s="89" t="s">
        <v>62</v>
      </c>
      <c r="C64" s="6"/>
      <c r="D64" s="6"/>
      <c r="E64" s="6"/>
      <c r="F64" s="87">
        <f>D63</f>
        <v>0</v>
      </c>
      <c r="G64" s="87">
        <f>E63</f>
        <v>0</v>
      </c>
      <c r="H64" s="93">
        <f>F64*G64/1000000</f>
        <v>0</v>
      </c>
      <c r="I64" s="91" t="e">
        <f>I72/H64</f>
        <v>#DIV/0!</v>
      </c>
      <c r="J64" s="92">
        <f>D63</f>
        <v>0</v>
      </c>
      <c r="K64" s="92">
        <f>E63</f>
        <v>0</v>
      </c>
    </row>
    <row r="65" spans="1:11" ht="13.2">
      <c r="A65" s="260"/>
      <c r="B65" s="89"/>
      <c r="C65" s="6"/>
      <c r="D65" s="6"/>
      <c r="E65" s="6"/>
      <c r="F65" s="87">
        <f>D63</f>
        <v>0</v>
      </c>
      <c r="G65" s="87">
        <f>E63</f>
        <v>0</v>
      </c>
      <c r="H65" s="93">
        <f>F65*G65/1000000</f>
        <v>0</v>
      </c>
      <c r="I65" s="91" t="e">
        <f>I72/H65</f>
        <v>#DIV/0!</v>
      </c>
      <c r="J65" s="92">
        <f>D63</f>
        <v>0</v>
      </c>
      <c r="K65" s="92">
        <f>E63</f>
        <v>0</v>
      </c>
    </row>
    <row r="66" spans="1:11" ht="13.2">
      <c r="A66" s="260"/>
      <c r="B66" s="89"/>
      <c r="C66" s="6"/>
      <c r="D66" s="6"/>
      <c r="E66" s="6"/>
      <c r="F66" s="87">
        <f>D63</f>
        <v>0</v>
      </c>
      <c r="G66" s="87">
        <f>E63</f>
        <v>0</v>
      </c>
      <c r="H66" s="93">
        <f>F66*G66/1000000</f>
        <v>0</v>
      </c>
      <c r="I66" s="91" t="e">
        <f>I72/H66</f>
        <v>#DIV/0!</v>
      </c>
      <c r="J66" s="92">
        <f>D63</f>
        <v>0</v>
      </c>
      <c r="K66" s="92">
        <f>E63</f>
        <v>0</v>
      </c>
    </row>
    <row r="67" spans="1:11" ht="13.2">
      <c r="A67" s="260"/>
      <c r="E67" t="s">
        <v>35</v>
      </c>
    </row>
    <row r="68" spans="1:11" ht="12.9" customHeight="1">
      <c r="A68" s="260"/>
      <c r="B68" s="263"/>
      <c r="C68" s="263"/>
      <c r="D68" s="263"/>
      <c r="F68" s="261"/>
      <c r="G68" s="261"/>
      <c r="H68" s="87"/>
      <c r="I68" s="264" t="s">
        <v>63</v>
      </c>
    </row>
    <row r="69" spans="1:11" ht="13.2">
      <c r="A69" s="260"/>
      <c r="B69" s="96"/>
      <c r="C69" s="97"/>
      <c r="D69" s="98"/>
      <c r="E69" s="89"/>
      <c r="F69" s="87"/>
      <c r="G69" s="87"/>
      <c r="H69" s="90"/>
      <c r="I69" s="264"/>
    </row>
    <row r="70" spans="1:11" ht="13.2">
      <c r="A70" s="260"/>
      <c r="B70" s="96"/>
      <c r="C70" s="97"/>
      <c r="D70" s="98"/>
      <c r="E70" s="89"/>
      <c r="F70" s="87"/>
      <c r="G70" s="87"/>
      <c r="H70" s="90"/>
      <c r="I70" s="99">
        <v>500</v>
      </c>
    </row>
    <row r="71" spans="1:11" ht="13.2">
      <c r="A71" s="260"/>
      <c r="B71" s="96"/>
      <c r="C71" s="97"/>
      <c r="D71" s="98"/>
      <c r="E71" s="89"/>
      <c r="F71" s="87"/>
      <c r="G71" s="87"/>
      <c r="H71" s="90"/>
      <c r="I71" s="100"/>
    </row>
    <row r="72" spans="1:11" ht="13.2">
      <c r="A72" s="260"/>
      <c r="B72" s="101"/>
      <c r="C72" s="102"/>
      <c r="D72" s="103"/>
      <c r="E72" s="89"/>
      <c r="F72" s="87"/>
      <c r="G72" s="87"/>
      <c r="H72" s="90"/>
      <c r="I72" s="87"/>
    </row>
    <row r="73" spans="1:11" ht="13.2"/>
    <row r="74" spans="1:11" ht="15.6">
      <c r="A74" s="260">
        <v>7</v>
      </c>
      <c r="C74" s="85"/>
      <c r="D74" s="85" t="s">
        <v>56</v>
      </c>
      <c r="E74" s="85" t="s">
        <v>57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1" ht="13.2">
      <c r="A75" s="260"/>
      <c r="B75" s="89" t="s">
        <v>61</v>
      </c>
      <c r="C75" s="85"/>
      <c r="D75" s="85">
        <f>Kalk!E28</f>
        <v>0</v>
      </c>
      <c r="E75" s="85">
        <f>Kalk!G28</f>
        <v>0</v>
      </c>
      <c r="F75" s="87">
        <f>D75</f>
        <v>0</v>
      </c>
      <c r="G75" s="87">
        <f>E75</f>
        <v>0</v>
      </c>
      <c r="H75" s="90">
        <f>(F75*G75)/1000000</f>
        <v>0</v>
      </c>
      <c r="I75" s="91" t="e">
        <f>I84/H75</f>
        <v>#DIV/0!</v>
      </c>
      <c r="J75" s="92">
        <f>D75</f>
        <v>0</v>
      </c>
      <c r="K75" s="92">
        <f>E75</f>
        <v>0</v>
      </c>
    </row>
    <row r="76" spans="1:11" ht="13.2">
      <c r="A76" s="260"/>
      <c r="B76" s="89" t="s">
        <v>62</v>
      </c>
      <c r="C76" s="6"/>
      <c r="D76" s="6"/>
      <c r="E76" s="6"/>
      <c r="F76" s="87">
        <f>D75</f>
        <v>0</v>
      </c>
      <c r="G76" s="87">
        <f>E75</f>
        <v>0</v>
      </c>
      <c r="H76" s="93">
        <f>F76*G76/1000000</f>
        <v>0</v>
      </c>
      <c r="I76" s="91" t="e">
        <f>I84/H76</f>
        <v>#DIV/0!</v>
      </c>
      <c r="J76" s="92">
        <f>D75</f>
        <v>0</v>
      </c>
      <c r="K76" s="92">
        <f>E75</f>
        <v>0</v>
      </c>
    </row>
    <row r="77" spans="1:11" ht="13.2">
      <c r="A77" s="260"/>
      <c r="B77" s="89"/>
      <c r="C77" s="6"/>
      <c r="D77" s="6"/>
      <c r="E77" s="6"/>
      <c r="F77" s="87">
        <f>D75</f>
        <v>0</v>
      </c>
      <c r="G77" s="87">
        <f>E75</f>
        <v>0</v>
      </c>
      <c r="H77" s="93">
        <f>F77*G77/1000000</f>
        <v>0</v>
      </c>
      <c r="I77" s="91" t="e">
        <f>I84/H77</f>
        <v>#DIV/0!</v>
      </c>
      <c r="J77" s="92">
        <f>D75</f>
        <v>0</v>
      </c>
      <c r="K77" s="92">
        <f>E75</f>
        <v>0</v>
      </c>
    </row>
    <row r="78" spans="1:11" ht="13.2">
      <c r="A78" s="260"/>
      <c r="B78" s="89"/>
      <c r="C78" s="6"/>
      <c r="D78" s="6"/>
      <c r="E78" s="6"/>
      <c r="F78" s="87">
        <f>D75</f>
        <v>0</v>
      </c>
      <c r="G78" s="87">
        <f>E75</f>
        <v>0</v>
      </c>
      <c r="H78" s="93">
        <f>F78*G78/1000000</f>
        <v>0</v>
      </c>
      <c r="I78" s="91" t="e">
        <f>I84/H78</f>
        <v>#DIV/0!</v>
      </c>
      <c r="J78" s="92">
        <f>D75</f>
        <v>0</v>
      </c>
      <c r="K78" s="92">
        <f>E75</f>
        <v>0</v>
      </c>
    </row>
    <row r="79" spans="1:11" ht="13.2">
      <c r="A79" s="260"/>
      <c r="E79" t="s">
        <v>35</v>
      </c>
    </row>
    <row r="80" spans="1:11" ht="12.9" customHeight="1">
      <c r="A80" s="260"/>
      <c r="B80" s="263"/>
      <c r="C80" s="263"/>
      <c r="D80" s="263"/>
      <c r="F80" s="261"/>
      <c r="G80" s="261"/>
      <c r="H80" s="87"/>
      <c r="I80" s="264" t="s">
        <v>63</v>
      </c>
    </row>
    <row r="81" spans="1:11" ht="13.2">
      <c r="A81" s="260"/>
      <c r="B81" s="96"/>
      <c r="C81" s="97"/>
      <c r="D81" s="98"/>
      <c r="E81" s="89"/>
      <c r="F81" s="87"/>
      <c r="G81" s="87"/>
      <c r="H81" s="90"/>
      <c r="I81" s="264"/>
    </row>
    <row r="82" spans="1:11" ht="13.2">
      <c r="A82" s="260"/>
      <c r="B82" s="96"/>
      <c r="C82" s="97"/>
      <c r="D82" s="98"/>
      <c r="E82" s="89"/>
      <c r="F82" s="87"/>
      <c r="G82" s="87"/>
      <c r="H82" s="90"/>
      <c r="I82" s="99">
        <v>500</v>
      </c>
    </row>
    <row r="83" spans="1:11" ht="13.2">
      <c r="A83" s="260"/>
      <c r="B83" s="96"/>
      <c r="C83" s="97"/>
      <c r="D83" s="98"/>
      <c r="E83" s="89"/>
      <c r="F83" s="87"/>
      <c r="G83" s="87"/>
      <c r="H83" s="90"/>
      <c r="I83" s="100"/>
    </row>
    <row r="84" spans="1:11" ht="13.2">
      <c r="A84" s="260"/>
      <c r="B84" s="101"/>
      <c r="C84" s="102"/>
      <c r="D84" s="103"/>
      <c r="E84" s="89"/>
      <c r="F84" s="87"/>
      <c r="G84" s="87"/>
      <c r="H84" s="90"/>
      <c r="I84" s="87"/>
    </row>
    <row r="85" spans="1:11" ht="13.2"/>
    <row r="86" spans="1:11" ht="15.6">
      <c r="A86" s="260">
        <v>8</v>
      </c>
      <c r="C86" s="85"/>
      <c r="D86" s="85" t="s">
        <v>56</v>
      </c>
      <c r="E86" s="85" t="s">
        <v>57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1" ht="13.2">
      <c r="A87" s="260"/>
      <c r="B87" s="89" t="s">
        <v>61</v>
      </c>
      <c r="C87" s="85"/>
      <c r="D87" s="85">
        <f>Kalk!E32</f>
        <v>0</v>
      </c>
      <c r="E87" s="85">
        <f>Kalk!G32</f>
        <v>0</v>
      </c>
      <c r="F87" s="87">
        <f>D87</f>
        <v>0</v>
      </c>
      <c r="G87" s="87">
        <f>E87</f>
        <v>0</v>
      </c>
      <c r="H87" s="90">
        <f>(F87*G87)/1000000</f>
        <v>0</v>
      </c>
      <c r="I87" s="91" t="e">
        <f>I96/H87</f>
        <v>#DIV/0!</v>
      </c>
      <c r="J87" s="92">
        <f>D87</f>
        <v>0</v>
      </c>
      <c r="K87" s="92">
        <f>E87</f>
        <v>0</v>
      </c>
    </row>
    <row r="88" spans="1:11" ht="13.2">
      <c r="A88" s="260"/>
      <c r="B88" s="89" t="s">
        <v>62</v>
      </c>
      <c r="C88" s="6"/>
      <c r="D88" s="6"/>
      <c r="E88" s="6"/>
      <c r="F88" s="87">
        <f>D87</f>
        <v>0</v>
      </c>
      <c r="G88" s="87">
        <f>E87</f>
        <v>0</v>
      </c>
      <c r="H88" s="93">
        <f>F88*G88/1000000</f>
        <v>0</v>
      </c>
      <c r="I88" s="91" t="e">
        <f>I96/H88</f>
        <v>#DIV/0!</v>
      </c>
      <c r="J88" s="92">
        <f>D87</f>
        <v>0</v>
      </c>
      <c r="K88" s="92">
        <f>E87</f>
        <v>0</v>
      </c>
    </row>
    <row r="89" spans="1:11" ht="13.2">
      <c r="A89" s="260"/>
      <c r="B89" s="89"/>
      <c r="C89" s="6"/>
      <c r="D89" s="6"/>
      <c r="E89" s="6"/>
      <c r="F89" s="87">
        <f>D87</f>
        <v>0</v>
      </c>
      <c r="G89" s="87">
        <f>E87</f>
        <v>0</v>
      </c>
      <c r="H89" s="93">
        <f>F89*G89/1000000</f>
        <v>0</v>
      </c>
      <c r="I89" s="91" t="e">
        <f>I96/H89</f>
        <v>#DIV/0!</v>
      </c>
      <c r="J89" s="92">
        <f>D87</f>
        <v>0</v>
      </c>
      <c r="K89" s="92">
        <f>E87</f>
        <v>0</v>
      </c>
    </row>
    <row r="90" spans="1:11" ht="13.2">
      <c r="A90" s="260"/>
      <c r="B90" s="89"/>
      <c r="C90" s="6"/>
      <c r="D90" s="6"/>
      <c r="E90" s="6"/>
      <c r="F90" s="87">
        <f>D87</f>
        <v>0</v>
      </c>
      <c r="G90" s="87">
        <f>E87</f>
        <v>0</v>
      </c>
      <c r="H90" s="93">
        <f>F90*G90/1000000</f>
        <v>0</v>
      </c>
      <c r="I90" s="91" t="e">
        <f>I96/H90</f>
        <v>#DIV/0!</v>
      </c>
      <c r="J90" s="92">
        <f>D87</f>
        <v>0</v>
      </c>
      <c r="K90" s="92">
        <f>E87</f>
        <v>0</v>
      </c>
    </row>
    <row r="91" spans="1:11" ht="13.2">
      <c r="A91" s="260"/>
      <c r="E91" t="s">
        <v>35</v>
      </c>
    </row>
    <row r="92" spans="1:11" ht="12.9" customHeight="1">
      <c r="A92" s="260"/>
      <c r="B92" s="263"/>
      <c r="C92" s="263"/>
      <c r="D92" s="263"/>
      <c r="F92" s="261"/>
      <c r="G92" s="261"/>
      <c r="H92" s="87"/>
      <c r="I92" s="264" t="s">
        <v>63</v>
      </c>
    </row>
    <row r="93" spans="1:11" ht="13.2">
      <c r="A93" s="260"/>
      <c r="B93" s="96"/>
      <c r="C93" s="97"/>
      <c r="D93" s="98"/>
      <c r="E93" s="89"/>
      <c r="F93" s="87"/>
      <c r="G93" s="87"/>
      <c r="H93" s="90"/>
      <c r="I93" s="264"/>
    </row>
    <row r="94" spans="1:11" ht="13.2">
      <c r="A94" s="260"/>
      <c r="B94" s="96"/>
      <c r="C94" s="97"/>
      <c r="D94" s="98"/>
      <c r="E94" s="89"/>
      <c r="F94" s="87"/>
      <c r="G94" s="87"/>
      <c r="H94" s="90"/>
      <c r="I94" s="99">
        <v>500</v>
      </c>
    </row>
    <row r="95" spans="1:11" ht="13.2">
      <c r="A95" s="260"/>
      <c r="B95" s="96"/>
      <c r="C95" s="97"/>
      <c r="D95" s="98"/>
      <c r="E95" s="89"/>
      <c r="F95" s="87"/>
      <c r="G95" s="87"/>
      <c r="H95" s="90"/>
      <c r="I95" s="100"/>
    </row>
    <row r="96" spans="1:11" ht="13.2">
      <c r="A96" s="260"/>
      <c r="B96" s="101"/>
      <c r="C96" s="102"/>
      <c r="D96" s="103"/>
      <c r="E96" s="89"/>
      <c r="F96" s="87"/>
      <c r="G96" s="87"/>
      <c r="H96" s="90"/>
      <c r="I96" s="87"/>
    </row>
    <row r="97" spans="1:11" ht="13.2"/>
    <row r="98" spans="1:11" ht="15.6">
      <c r="A98" s="260">
        <v>9</v>
      </c>
      <c r="C98" s="85"/>
      <c r="D98" s="85" t="s">
        <v>56</v>
      </c>
      <c r="E98" s="85" t="s">
        <v>57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1" ht="13.2">
      <c r="A99" s="260"/>
      <c r="B99" s="89" t="s">
        <v>61</v>
      </c>
      <c r="C99" s="85"/>
      <c r="D99" s="85">
        <f>Kalk!E36</f>
        <v>0</v>
      </c>
      <c r="E99" s="85">
        <f>Kalk!G36</f>
        <v>0</v>
      </c>
      <c r="F99" s="87">
        <f>D99</f>
        <v>0</v>
      </c>
      <c r="G99" s="87">
        <f>E99</f>
        <v>0</v>
      </c>
      <c r="H99" s="90">
        <f>(F99*G99)/1000000</f>
        <v>0</v>
      </c>
      <c r="I99" s="91" t="e">
        <f>I108/H99</f>
        <v>#DIV/0!</v>
      </c>
      <c r="J99" s="92">
        <f>D99</f>
        <v>0</v>
      </c>
      <c r="K99" s="92">
        <f>E99</f>
        <v>0</v>
      </c>
    </row>
    <row r="100" spans="1:11" ht="13.2">
      <c r="A100" s="260"/>
      <c r="B100" s="89" t="s">
        <v>62</v>
      </c>
      <c r="C100" s="6"/>
      <c r="D100" s="6"/>
      <c r="E100" s="6"/>
      <c r="F100" s="87">
        <f>D99</f>
        <v>0</v>
      </c>
      <c r="G100" s="87">
        <f>E99</f>
        <v>0</v>
      </c>
      <c r="H100" s="93">
        <f>F100*G100/1000000</f>
        <v>0</v>
      </c>
      <c r="I100" s="91" t="e">
        <f>I108/H100</f>
        <v>#DIV/0!</v>
      </c>
      <c r="J100" s="92">
        <f>D99</f>
        <v>0</v>
      </c>
      <c r="K100" s="92">
        <f>E99</f>
        <v>0</v>
      </c>
    </row>
    <row r="101" spans="1:11" ht="13.2">
      <c r="A101" s="260"/>
      <c r="B101" s="89"/>
      <c r="C101" s="6"/>
      <c r="D101" s="6"/>
      <c r="E101" s="6"/>
      <c r="F101" s="87">
        <f>D99</f>
        <v>0</v>
      </c>
      <c r="G101" s="87">
        <f>E99</f>
        <v>0</v>
      </c>
      <c r="H101" s="93">
        <f>F101*G101/1000000</f>
        <v>0</v>
      </c>
      <c r="I101" s="91" t="e">
        <f>I108/H101</f>
        <v>#DIV/0!</v>
      </c>
      <c r="J101" s="92">
        <f>D99</f>
        <v>0</v>
      </c>
      <c r="K101" s="92">
        <f>E99</f>
        <v>0</v>
      </c>
    </row>
    <row r="102" spans="1:11" ht="13.2">
      <c r="A102" s="260"/>
      <c r="B102" s="89"/>
      <c r="C102" s="6"/>
      <c r="D102" s="6"/>
      <c r="E102" s="6"/>
      <c r="F102" s="87">
        <f>D99</f>
        <v>0</v>
      </c>
      <c r="G102" s="87">
        <f>E99</f>
        <v>0</v>
      </c>
      <c r="H102" s="93">
        <f>F102*G102/1000000</f>
        <v>0</v>
      </c>
      <c r="I102" s="91" t="e">
        <f>I108/H102</f>
        <v>#DIV/0!</v>
      </c>
      <c r="J102" s="92">
        <f>D99</f>
        <v>0</v>
      </c>
      <c r="K102" s="92">
        <f>E99</f>
        <v>0</v>
      </c>
    </row>
    <row r="103" spans="1:11" ht="13.2">
      <c r="A103" s="260"/>
      <c r="E103" t="s">
        <v>35</v>
      </c>
    </row>
    <row r="104" spans="1:11" ht="12.9" customHeight="1">
      <c r="A104" s="260"/>
      <c r="B104" s="263"/>
      <c r="C104" s="263"/>
      <c r="D104" s="263"/>
      <c r="F104" s="261"/>
      <c r="G104" s="261"/>
      <c r="H104" s="87"/>
      <c r="I104" s="264" t="s">
        <v>63</v>
      </c>
    </row>
    <row r="105" spans="1:11" ht="13.2">
      <c r="A105" s="260"/>
      <c r="B105" s="96"/>
      <c r="C105" s="97"/>
      <c r="D105" s="98"/>
      <c r="E105" s="89"/>
      <c r="F105" s="87"/>
      <c r="G105" s="87"/>
      <c r="H105" s="90"/>
      <c r="I105" s="264"/>
    </row>
    <row r="106" spans="1:11" ht="13.2">
      <c r="A106" s="260"/>
      <c r="B106" s="96"/>
      <c r="C106" s="97"/>
      <c r="D106" s="98"/>
      <c r="E106" s="89"/>
      <c r="F106" s="87"/>
      <c r="G106" s="87"/>
      <c r="H106" s="90"/>
      <c r="I106" s="99">
        <v>500</v>
      </c>
    </row>
    <row r="107" spans="1:11" ht="13.2">
      <c r="A107" s="260"/>
      <c r="B107" s="96"/>
      <c r="C107" s="97"/>
      <c r="D107" s="98"/>
      <c r="E107" s="89"/>
      <c r="F107" s="87"/>
      <c r="G107" s="87"/>
      <c r="H107" s="90"/>
      <c r="I107" s="100"/>
    </row>
    <row r="108" spans="1:11" ht="13.2">
      <c r="A108" s="260"/>
      <c r="B108" s="101"/>
      <c r="C108" s="102"/>
      <c r="D108" s="103"/>
      <c r="E108" s="89"/>
      <c r="F108" s="87"/>
      <c r="G108" s="87"/>
      <c r="H108" s="90"/>
      <c r="I108" s="87"/>
    </row>
    <row r="109" spans="1:11" ht="13.2"/>
    <row r="110" spans="1:11" ht="15.6">
      <c r="A110" s="260">
        <v>10</v>
      </c>
      <c r="C110" s="85"/>
      <c r="D110" s="85" t="s">
        <v>56</v>
      </c>
      <c r="E110" s="85" t="s">
        <v>57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1" ht="13.2">
      <c r="A111" s="260"/>
      <c r="B111" s="89" t="s">
        <v>61</v>
      </c>
      <c r="C111" s="85"/>
      <c r="D111" s="85">
        <f>Kalk!E40</f>
        <v>0</v>
      </c>
      <c r="E111" s="85">
        <f>Kalk!G40</f>
        <v>0</v>
      </c>
      <c r="F111" s="87">
        <f>D111</f>
        <v>0</v>
      </c>
      <c r="G111" s="87">
        <f>E111</f>
        <v>0</v>
      </c>
      <c r="H111" s="90">
        <f>(F111*G111)/1000000</f>
        <v>0</v>
      </c>
      <c r="I111" s="91" t="e">
        <f>I120/H111</f>
        <v>#DIV/0!</v>
      </c>
      <c r="J111" s="92">
        <f>D111</f>
        <v>0</v>
      </c>
      <c r="K111" s="92">
        <f>E111</f>
        <v>0</v>
      </c>
    </row>
    <row r="112" spans="1:11" ht="13.2">
      <c r="A112" s="260"/>
      <c r="B112" s="89" t="s">
        <v>62</v>
      </c>
      <c r="C112" s="6"/>
      <c r="D112" s="6"/>
      <c r="E112" s="6"/>
      <c r="F112" s="87">
        <f>D111</f>
        <v>0</v>
      </c>
      <c r="G112" s="87">
        <f>E111</f>
        <v>0</v>
      </c>
      <c r="H112" s="93">
        <f>F112*G112/1000000</f>
        <v>0</v>
      </c>
      <c r="I112" s="91" t="e">
        <f>I120/H112</f>
        <v>#DIV/0!</v>
      </c>
      <c r="J112" s="92">
        <f>D111</f>
        <v>0</v>
      </c>
      <c r="K112" s="92">
        <f>E111</f>
        <v>0</v>
      </c>
    </row>
    <row r="113" spans="1:11" ht="13.2">
      <c r="A113" s="260"/>
      <c r="B113" s="89"/>
      <c r="C113" s="6"/>
      <c r="D113" s="6"/>
      <c r="E113" s="6"/>
      <c r="F113" s="87">
        <f>D111</f>
        <v>0</v>
      </c>
      <c r="G113" s="87">
        <f>E111</f>
        <v>0</v>
      </c>
      <c r="H113" s="93">
        <f>F113*G113/1000000</f>
        <v>0</v>
      </c>
      <c r="I113" s="91" t="e">
        <f>I120/H113</f>
        <v>#DIV/0!</v>
      </c>
      <c r="J113" s="92">
        <f>D111</f>
        <v>0</v>
      </c>
      <c r="K113" s="92">
        <f>E111</f>
        <v>0</v>
      </c>
    </row>
    <row r="114" spans="1:11" ht="13.2">
      <c r="A114" s="260"/>
      <c r="B114" s="89"/>
      <c r="C114" s="6"/>
      <c r="D114" s="6"/>
      <c r="E114" s="6"/>
      <c r="F114" s="87">
        <f>D111</f>
        <v>0</v>
      </c>
      <c r="G114" s="87">
        <f>E111</f>
        <v>0</v>
      </c>
      <c r="H114" s="93">
        <f>F114*G114/1000000</f>
        <v>0</v>
      </c>
      <c r="I114" s="91" t="e">
        <f>I120/H114</f>
        <v>#DIV/0!</v>
      </c>
      <c r="J114" s="92">
        <f>D111</f>
        <v>0</v>
      </c>
      <c r="K114" s="92">
        <f>E111</f>
        <v>0</v>
      </c>
    </row>
    <row r="115" spans="1:11" ht="13.2">
      <c r="A115" s="260"/>
      <c r="E115" t="s">
        <v>35</v>
      </c>
    </row>
    <row r="116" spans="1:11" ht="12.9" customHeight="1">
      <c r="A116" s="260"/>
      <c r="B116" s="263"/>
      <c r="C116" s="263"/>
      <c r="D116" s="263"/>
      <c r="F116" s="261"/>
      <c r="G116" s="261"/>
      <c r="H116" s="87"/>
      <c r="I116" s="264" t="s">
        <v>63</v>
      </c>
    </row>
    <row r="117" spans="1:11" ht="13.2">
      <c r="A117" s="260"/>
      <c r="B117" s="96"/>
      <c r="C117" s="97"/>
      <c r="D117" s="98"/>
      <c r="E117" s="89"/>
      <c r="F117" s="87"/>
      <c r="G117" s="87"/>
      <c r="H117" s="90"/>
      <c r="I117" s="264"/>
    </row>
    <row r="118" spans="1:11" ht="13.2">
      <c r="A118" s="260"/>
      <c r="B118" s="96"/>
      <c r="C118" s="97"/>
      <c r="D118" s="98"/>
      <c r="E118" s="89"/>
      <c r="F118" s="87"/>
      <c r="G118" s="87"/>
      <c r="H118" s="90"/>
      <c r="I118" s="99">
        <v>500</v>
      </c>
    </row>
    <row r="119" spans="1:11" ht="13.2">
      <c r="A119" s="260"/>
      <c r="B119" s="96"/>
      <c r="C119" s="97"/>
      <c r="D119" s="98"/>
      <c r="E119" s="89"/>
      <c r="F119" s="87"/>
      <c r="G119" s="87"/>
      <c r="H119" s="90"/>
      <c r="I119" s="100"/>
    </row>
    <row r="120" spans="1:11" ht="13.2">
      <c r="A120" s="260"/>
      <c r="B120" s="101"/>
      <c r="C120" s="102"/>
      <c r="D120" s="103"/>
      <c r="E120" s="89"/>
      <c r="F120" s="87"/>
      <c r="G120" s="87"/>
      <c r="H120" s="90"/>
      <c r="I120" s="87"/>
    </row>
  </sheetData>
  <mergeCells count="60">
    <mergeCell ref="A2:A12"/>
    <mergeCell ref="F2:G2"/>
    <mergeCell ref="J2:K2"/>
    <mergeCell ref="B8:D8"/>
    <mergeCell ref="F8:G8"/>
    <mergeCell ref="I8:I9"/>
    <mergeCell ref="A14:A24"/>
    <mergeCell ref="F14:G14"/>
    <mergeCell ref="J14:K14"/>
    <mergeCell ref="B20:D20"/>
    <mergeCell ref="F20:G20"/>
    <mergeCell ref="I20:I21"/>
    <mergeCell ref="A26:A36"/>
    <mergeCell ref="F26:G26"/>
    <mergeCell ref="J26:K26"/>
    <mergeCell ref="B32:D32"/>
    <mergeCell ref="F32:G32"/>
    <mergeCell ref="I32:I33"/>
    <mergeCell ref="A38:A48"/>
    <mergeCell ref="F38:G38"/>
    <mergeCell ref="J38:K38"/>
    <mergeCell ref="B44:D44"/>
    <mergeCell ref="F44:G44"/>
    <mergeCell ref="I44:I45"/>
    <mergeCell ref="A50:A60"/>
    <mergeCell ref="F50:G50"/>
    <mergeCell ref="J50:K50"/>
    <mergeCell ref="B56:D56"/>
    <mergeCell ref="F56:G56"/>
    <mergeCell ref="I56:I57"/>
    <mergeCell ref="A62:A72"/>
    <mergeCell ref="F62:G62"/>
    <mergeCell ref="J62:K62"/>
    <mergeCell ref="B68:D68"/>
    <mergeCell ref="F68:G68"/>
    <mergeCell ref="I68:I69"/>
    <mergeCell ref="A74:A84"/>
    <mergeCell ref="F74:G74"/>
    <mergeCell ref="J74:K74"/>
    <mergeCell ref="B80:D80"/>
    <mergeCell ref="F80:G80"/>
    <mergeCell ref="I80:I81"/>
    <mergeCell ref="A86:A96"/>
    <mergeCell ref="F86:G86"/>
    <mergeCell ref="J86:K86"/>
    <mergeCell ref="B92:D92"/>
    <mergeCell ref="F92:G92"/>
    <mergeCell ref="I92:I93"/>
    <mergeCell ref="A98:A108"/>
    <mergeCell ref="F98:G98"/>
    <mergeCell ref="J98:K98"/>
    <mergeCell ref="B104:D104"/>
    <mergeCell ref="F104:G104"/>
    <mergeCell ref="I104:I105"/>
    <mergeCell ref="A110:A120"/>
    <mergeCell ref="F110:G110"/>
    <mergeCell ref="J110:K110"/>
    <mergeCell ref="B116:D116"/>
    <mergeCell ref="F116:G116"/>
    <mergeCell ref="I116:I117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FFC000"/>
    <pageSetUpPr fitToPage="1"/>
  </sheetPr>
  <dimension ref="A1:AU91"/>
  <sheetViews>
    <sheetView zoomScale="74" zoomScaleNormal="74" workbookViewId="0">
      <selection activeCell="F19" sqref="F19"/>
    </sheetView>
  </sheetViews>
  <sheetFormatPr defaultColWidth="11.5546875" defaultRowHeight="12.75" customHeight="1"/>
  <cols>
    <col min="11" max="11" width="23.6640625" customWidth="1"/>
    <col min="12" max="12" width="12.5546875" customWidth="1"/>
    <col min="13" max="13" width="15.44140625" customWidth="1"/>
    <col min="14" max="14" width="13.44140625" customWidth="1"/>
    <col min="41" max="41" width="19.5546875" customWidth="1"/>
    <col min="47" max="47" width="18.5546875" customWidth="1"/>
  </cols>
  <sheetData>
    <row r="1" spans="1:47" ht="13.2">
      <c r="J1" s="88"/>
      <c r="K1" s="110"/>
      <c r="L1" s="110"/>
      <c r="M1" s="116"/>
      <c r="N1" s="116"/>
      <c r="O1" s="116"/>
      <c r="P1" s="146"/>
      <c r="Q1" s="146"/>
      <c r="R1" s="146"/>
      <c r="S1" s="110"/>
      <c r="T1" s="116"/>
      <c r="U1" s="116"/>
      <c r="V1" s="116"/>
      <c r="W1" s="146"/>
      <c r="X1" s="146"/>
      <c r="Y1" s="146"/>
      <c r="Z1" s="110"/>
      <c r="AA1" s="116"/>
      <c r="AB1" s="116"/>
      <c r="AC1" s="116"/>
      <c r="AD1" s="146"/>
      <c r="AE1" s="146"/>
      <c r="AF1" s="146"/>
      <c r="AG1" s="110"/>
      <c r="AH1" s="116"/>
      <c r="AI1" s="116"/>
      <c r="AJ1" s="116"/>
      <c r="AK1" s="146"/>
      <c r="AL1" s="146"/>
      <c r="AM1" s="146"/>
      <c r="AO1" s="262" t="s">
        <v>955</v>
      </c>
      <c r="AP1" s="110"/>
      <c r="AQ1" s="116"/>
      <c r="AR1" s="116"/>
      <c r="AS1" s="146"/>
      <c r="AT1" s="146"/>
      <c r="AU1" s="110"/>
    </row>
    <row r="2" spans="1:47" ht="13.2">
      <c r="J2" s="88" t="s">
        <v>83</v>
      </c>
      <c r="K2" s="110" t="s">
        <v>956</v>
      </c>
      <c r="L2" s="110" t="s">
        <v>957</v>
      </c>
      <c r="M2" s="116" t="s">
        <v>958</v>
      </c>
      <c r="N2" s="116" t="s">
        <v>959</v>
      </c>
      <c r="O2" s="116" t="s">
        <v>960</v>
      </c>
      <c r="P2" s="146" t="s">
        <v>958</v>
      </c>
      <c r="Q2" s="146" t="s">
        <v>959</v>
      </c>
      <c r="R2" s="146" t="s">
        <v>960</v>
      </c>
      <c r="S2" s="110" t="s">
        <v>957</v>
      </c>
      <c r="T2" s="116" t="s">
        <v>958</v>
      </c>
      <c r="U2" s="116" t="s">
        <v>959</v>
      </c>
      <c r="V2" s="116" t="s">
        <v>960</v>
      </c>
      <c r="W2" s="146" t="s">
        <v>958</v>
      </c>
      <c r="X2" s="146" t="s">
        <v>959</v>
      </c>
      <c r="Y2" s="146" t="s">
        <v>960</v>
      </c>
      <c r="Z2" s="110" t="s">
        <v>957</v>
      </c>
      <c r="AA2" s="116" t="s">
        <v>958</v>
      </c>
      <c r="AB2" s="116" t="s">
        <v>959</v>
      </c>
      <c r="AC2" s="116" t="s">
        <v>960</v>
      </c>
      <c r="AD2" s="146" t="s">
        <v>958</v>
      </c>
      <c r="AE2" s="146" t="s">
        <v>959</v>
      </c>
      <c r="AF2" s="146" t="s">
        <v>960</v>
      </c>
      <c r="AG2" s="110" t="s">
        <v>957</v>
      </c>
      <c r="AH2" s="116" t="s">
        <v>958</v>
      </c>
      <c r="AI2" s="116" t="s">
        <v>959</v>
      </c>
      <c r="AJ2" s="116" t="s">
        <v>960</v>
      </c>
      <c r="AK2" s="146" t="s">
        <v>958</v>
      </c>
      <c r="AL2" s="146" t="s">
        <v>959</v>
      </c>
      <c r="AM2" s="146" t="s">
        <v>960</v>
      </c>
      <c r="AO2" s="262"/>
      <c r="AP2" s="110" t="s">
        <v>957</v>
      </c>
      <c r="AQ2" s="116" t="s">
        <v>958</v>
      </c>
      <c r="AR2" s="116" t="s">
        <v>959</v>
      </c>
      <c r="AS2" s="146" t="s">
        <v>958</v>
      </c>
      <c r="AT2" s="146" t="s">
        <v>959</v>
      </c>
      <c r="AU2" s="110" t="s">
        <v>961</v>
      </c>
    </row>
    <row r="3" spans="1:47" ht="13.35" customHeight="1">
      <c r="A3" s="260">
        <v>1</v>
      </c>
      <c r="B3" s="267" t="s">
        <v>962</v>
      </c>
      <c r="C3" s="147" t="s">
        <v>56</v>
      </c>
      <c r="D3" s="147" t="s">
        <v>57</v>
      </c>
      <c r="E3" s="147" t="s">
        <v>66</v>
      </c>
      <c r="F3" s="268" t="s">
        <v>963</v>
      </c>
      <c r="G3" s="268"/>
      <c r="H3" s="148" t="s">
        <v>964</v>
      </c>
      <c r="I3" s="269" t="s">
        <v>965</v>
      </c>
      <c r="J3" s="88">
        <f>Kalk!AH3</f>
        <v>1000</v>
      </c>
      <c r="K3" s="150" t="str">
        <f ca="1">IF($B5=1,SUM(L9:R9),"")</f>
        <v/>
      </c>
      <c r="L3" s="150">
        <v>0</v>
      </c>
      <c r="M3" s="151">
        <v>0</v>
      </c>
      <c r="N3" s="151">
        <v>0</v>
      </c>
      <c r="O3" s="151">
        <v>0</v>
      </c>
      <c r="P3" s="152">
        <v>0</v>
      </c>
      <c r="Q3" s="152">
        <v>0</v>
      </c>
      <c r="R3" s="152">
        <v>0</v>
      </c>
      <c r="S3" s="150">
        <v>0</v>
      </c>
      <c r="T3" s="151">
        <v>0</v>
      </c>
      <c r="U3" s="151">
        <v>0</v>
      </c>
      <c r="V3" s="151">
        <v>0</v>
      </c>
      <c r="W3" s="152">
        <v>0</v>
      </c>
      <c r="X3" s="152">
        <v>0</v>
      </c>
      <c r="Y3" s="152">
        <v>0</v>
      </c>
      <c r="Z3" s="150">
        <v>0</v>
      </c>
      <c r="AA3" s="151">
        <v>0</v>
      </c>
      <c r="AB3" s="151">
        <v>0</v>
      </c>
      <c r="AC3" s="151">
        <v>0</v>
      </c>
      <c r="AD3" s="152">
        <v>0</v>
      </c>
      <c r="AE3" s="152">
        <v>0</v>
      </c>
      <c r="AF3" s="152">
        <v>0</v>
      </c>
      <c r="AG3" s="150">
        <v>0</v>
      </c>
      <c r="AH3" s="151">
        <v>0</v>
      </c>
      <c r="AI3" s="151">
        <v>0</v>
      </c>
      <c r="AJ3" s="151">
        <v>0</v>
      </c>
      <c r="AK3" s="152">
        <v>0</v>
      </c>
      <c r="AL3" s="152">
        <v>0</v>
      </c>
      <c r="AM3" s="152">
        <v>0</v>
      </c>
      <c r="AO3" s="117"/>
      <c r="AP3" s="117"/>
      <c r="AQ3" s="270"/>
      <c r="AR3" s="270"/>
      <c r="AS3" s="270"/>
      <c r="AT3" s="270"/>
      <c r="AU3" s="117">
        <v>0.17</v>
      </c>
    </row>
    <row r="4" spans="1:47" ht="13.2">
      <c r="A4" s="260"/>
      <c r="B4" s="267"/>
      <c r="C4" s="147">
        <f>Kalk!C4</f>
        <v>0</v>
      </c>
      <c r="D4" s="147">
        <f>Kalk!E4</f>
        <v>0</v>
      </c>
      <c r="E4" s="147">
        <f>Kalk!G4</f>
        <v>0</v>
      </c>
      <c r="F4" s="147">
        <f ca="1">Kalk!I4</f>
        <v>63</v>
      </c>
      <c r="G4" s="147">
        <f ca="1">Kalk!I6</f>
        <v>22</v>
      </c>
      <c r="H4" s="147" t="str">
        <f>Kalk!B4</f>
        <v>F0201</v>
      </c>
      <c r="I4" s="269"/>
      <c r="J4" s="88">
        <f>Kalk!AH4</f>
        <v>0</v>
      </c>
      <c r="K4" s="150" t="str">
        <f ca="1">IF($B5=1,SUM(S9:Y9),"")</f>
        <v/>
      </c>
      <c r="L4" s="150">
        <v>0</v>
      </c>
      <c r="M4" s="151">
        <v>0</v>
      </c>
      <c r="N4" s="151">
        <v>0</v>
      </c>
      <c r="O4" s="151">
        <v>0</v>
      </c>
      <c r="P4" s="152">
        <v>0</v>
      </c>
      <c r="Q4" s="152">
        <v>0</v>
      </c>
      <c r="R4" s="152">
        <v>0</v>
      </c>
      <c r="S4" s="150">
        <v>0</v>
      </c>
      <c r="T4" s="151">
        <v>0</v>
      </c>
      <c r="U4" s="151">
        <v>0</v>
      </c>
      <c r="V4" s="151">
        <v>0</v>
      </c>
      <c r="W4" s="152">
        <v>0</v>
      </c>
      <c r="X4" s="152">
        <v>0</v>
      </c>
      <c r="Y4" s="152">
        <v>0</v>
      </c>
      <c r="Z4" s="150">
        <v>0</v>
      </c>
      <c r="AA4" s="151">
        <v>0</v>
      </c>
      <c r="AB4" s="151">
        <v>0</v>
      </c>
      <c r="AC4" s="151">
        <v>0</v>
      </c>
      <c r="AD4" s="152">
        <v>0</v>
      </c>
      <c r="AE4" s="152">
        <v>0</v>
      </c>
      <c r="AF4" s="152">
        <v>0</v>
      </c>
      <c r="AG4" s="150">
        <v>0</v>
      </c>
      <c r="AH4" s="151">
        <v>0</v>
      </c>
      <c r="AI4" s="151">
        <v>0</v>
      </c>
      <c r="AJ4" s="151">
        <v>0</v>
      </c>
      <c r="AK4" s="152">
        <v>0</v>
      </c>
      <c r="AL4" s="152">
        <v>0</v>
      </c>
      <c r="AM4" s="152">
        <v>0</v>
      </c>
      <c r="AO4" s="117" t="s">
        <v>966</v>
      </c>
      <c r="AP4" s="117">
        <v>0.23</v>
      </c>
      <c r="AQ4" s="116">
        <v>0.33</v>
      </c>
      <c r="AR4" s="116">
        <v>0.36</v>
      </c>
      <c r="AS4" s="146">
        <v>0.43</v>
      </c>
      <c r="AT4" s="146">
        <v>0.41</v>
      </c>
    </row>
    <row r="5" spans="1:47" ht="13.2">
      <c r="A5" s="260"/>
      <c r="B5" s="153">
        <f ca="1">IF(SUM(C32:H32)+H35=7,1,0)</f>
        <v>0</v>
      </c>
      <c r="C5" s="88">
        <f>IF((C31&gt;132)*AND(C31&lt;941),1,0)</f>
        <v>0</v>
      </c>
      <c r="D5" s="88">
        <f>IF((D31&gt;=132)*AND(D31&lt;481),1,0)</f>
        <v>0</v>
      </c>
      <c r="E5" s="88">
        <f>IF((E31&gt;89)*AND(E31&lt;481),1,0)</f>
        <v>0</v>
      </c>
      <c r="F5" s="88">
        <f ca="1">IF((F31&gt;547)*AND(F31&lt;=2180),1,0)</f>
        <v>0</v>
      </c>
      <c r="G5" s="88">
        <f ca="1">IF((G31&gt;263)*AND(G31&lt;891),1,0)</f>
        <v>0</v>
      </c>
      <c r="H5" s="88">
        <f>IF(OR(H31="F0200",H31="F0201",H31="F0202",H31="F0203",H31="F0201-F0203",H31="F0200-F0203",H31="F0501"),1,0)</f>
        <v>1</v>
      </c>
      <c r="I5" s="154">
        <f>Kalk!M3</f>
        <v>0</v>
      </c>
      <c r="J5" s="88">
        <f>Kalk!AH5</f>
        <v>0</v>
      </c>
      <c r="K5" s="150" t="str">
        <f ca="1">IF($B5=1,SUM(Z9:AF9),"")</f>
        <v/>
      </c>
      <c r="L5" s="150">
        <v>0</v>
      </c>
      <c r="M5" s="151">
        <v>0</v>
      </c>
      <c r="N5" s="151">
        <v>0</v>
      </c>
      <c r="O5" s="151">
        <v>0</v>
      </c>
      <c r="P5" s="152">
        <v>0</v>
      </c>
      <c r="Q5" s="152">
        <v>0</v>
      </c>
      <c r="R5" s="152">
        <v>0</v>
      </c>
      <c r="S5" s="150">
        <v>0</v>
      </c>
      <c r="T5" s="151">
        <v>0</v>
      </c>
      <c r="U5" s="151">
        <v>0</v>
      </c>
      <c r="V5" s="151">
        <v>0</v>
      </c>
      <c r="W5" s="152">
        <v>0</v>
      </c>
      <c r="X5" s="152">
        <v>0</v>
      </c>
      <c r="Y5" s="152">
        <v>0</v>
      </c>
      <c r="Z5" s="150">
        <v>0</v>
      </c>
      <c r="AA5" s="151">
        <v>0</v>
      </c>
      <c r="AB5" s="151">
        <v>0</v>
      </c>
      <c r="AC5" s="151">
        <v>0</v>
      </c>
      <c r="AD5" s="152">
        <v>0</v>
      </c>
      <c r="AE5" s="152">
        <v>0</v>
      </c>
      <c r="AF5" s="152">
        <v>0</v>
      </c>
      <c r="AG5" s="150">
        <v>0</v>
      </c>
      <c r="AH5" s="151">
        <v>0</v>
      </c>
      <c r="AI5" s="151">
        <v>0</v>
      </c>
      <c r="AJ5" s="151">
        <v>0</v>
      </c>
      <c r="AK5" s="152">
        <v>0</v>
      </c>
      <c r="AL5" s="152">
        <v>0</v>
      </c>
      <c r="AM5" s="152">
        <v>0</v>
      </c>
      <c r="AO5" s="117" t="s">
        <v>967</v>
      </c>
      <c r="AP5" s="117">
        <v>0.18</v>
      </c>
      <c r="AQ5" s="116">
        <v>0.23</v>
      </c>
      <c r="AR5" s="116">
        <v>0.26</v>
      </c>
      <c r="AS5" s="146">
        <v>0.28000000000000003</v>
      </c>
      <c r="AT5" s="146">
        <v>0.28999999999999998</v>
      </c>
    </row>
    <row r="6" spans="1:47" ht="12.9" customHeight="1">
      <c r="A6" s="260"/>
      <c r="B6" s="269" t="s">
        <v>968</v>
      </c>
      <c r="E6" t="s">
        <v>35</v>
      </c>
      <c r="G6" s="269" t="s">
        <v>969</v>
      </c>
      <c r="H6" s="269" t="s">
        <v>970</v>
      </c>
      <c r="I6" s="269" t="s">
        <v>971</v>
      </c>
      <c r="J6" s="88">
        <f>Kalk!AH6</f>
        <v>0</v>
      </c>
      <c r="K6" s="150" t="str">
        <f ca="1">IF($B5=1,SUM(AG9:AM9),"")</f>
        <v/>
      </c>
      <c r="L6" s="150">
        <v>0</v>
      </c>
      <c r="M6" s="151">
        <v>0</v>
      </c>
      <c r="N6" s="151">
        <v>0</v>
      </c>
      <c r="O6" s="151">
        <v>0</v>
      </c>
      <c r="P6" s="152">
        <v>0</v>
      </c>
      <c r="Q6" s="152">
        <v>0</v>
      </c>
      <c r="R6" s="152">
        <v>0</v>
      </c>
      <c r="S6" s="150">
        <v>0</v>
      </c>
      <c r="T6" s="151">
        <v>0</v>
      </c>
      <c r="U6" s="151">
        <v>0</v>
      </c>
      <c r="V6" s="151">
        <v>0</v>
      </c>
      <c r="W6" s="152">
        <v>0</v>
      </c>
      <c r="X6" s="152">
        <v>0</v>
      </c>
      <c r="Y6" s="152">
        <v>0</v>
      </c>
      <c r="Z6" s="150">
        <v>0</v>
      </c>
      <c r="AA6" s="151">
        <v>0</v>
      </c>
      <c r="AB6" s="151">
        <v>0</v>
      </c>
      <c r="AC6" s="151">
        <v>0</v>
      </c>
      <c r="AD6" s="152">
        <v>0</v>
      </c>
      <c r="AE6" s="152">
        <v>0</v>
      </c>
      <c r="AF6" s="152">
        <v>0</v>
      </c>
      <c r="AG6" s="150">
        <v>0</v>
      </c>
      <c r="AH6" s="151">
        <v>0</v>
      </c>
      <c r="AI6" s="151">
        <v>0</v>
      </c>
      <c r="AJ6" s="151">
        <v>0</v>
      </c>
      <c r="AK6" s="152">
        <v>0</v>
      </c>
      <c r="AL6" s="152">
        <v>0</v>
      </c>
      <c r="AM6" s="152">
        <v>0</v>
      </c>
      <c r="AO6" s="117" t="s">
        <v>972</v>
      </c>
      <c r="AP6" s="117">
        <v>0.15</v>
      </c>
      <c r="AQ6" s="116">
        <v>0.19</v>
      </c>
      <c r="AR6" s="116">
        <v>0.2</v>
      </c>
      <c r="AS6" s="146">
        <v>0.23</v>
      </c>
      <c r="AT6" s="146">
        <v>0.24</v>
      </c>
    </row>
    <row r="7" spans="1:47" ht="13.2">
      <c r="A7" s="260"/>
      <c r="B7" s="269"/>
      <c r="C7" s="155"/>
      <c r="D7" s="155"/>
      <c r="F7" s="156"/>
      <c r="G7" s="269"/>
      <c r="H7" s="269"/>
      <c r="I7" s="269"/>
      <c r="J7" s="6"/>
      <c r="K7" s="157"/>
      <c r="L7" s="150">
        <v>0</v>
      </c>
      <c r="M7" s="151">
        <v>0</v>
      </c>
      <c r="N7" s="151">
        <v>0</v>
      </c>
      <c r="O7" s="151">
        <v>0</v>
      </c>
      <c r="P7" s="152">
        <v>0</v>
      </c>
      <c r="Q7" s="152">
        <v>0</v>
      </c>
      <c r="R7" s="152">
        <v>0</v>
      </c>
      <c r="S7" s="150">
        <v>0</v>
      </c>
      <c r="T7" s="151">
        <v>0</v>
      </c>
      <c r="U7" s="151">
        <v>0</v>
      </c>
      <c r="V7" s="151">
        <v>0</v>
      </c>
      <c r="W7" s="152">
        <v>0</v>
      </c>
      <c r="X7" s="152">
        <v>0</v>
      </c>
      <c r="Y7" s="152">
        <v>0</v>
      </c>
      <c r="Z7" s="150">
        <v>0</v>
      </c>
      <c r="AA7" s="151">
        <v>0</v>
      </c>
      <c r="AB7" s="151">
        <v>0</v>
      </c>
      <c r="AC7" s="151">
        <v>0</v>
      </c>
      <c r="AD7" s="152">
        <v>0</v>
      </c>
      <c r="AE7" s="152">
        <v>0</v>
      </c>
      <c r="AF7" s="152">
        <v>0</v>
      </c>
      <c r="AG7" s="150">
        <v>0</v>
      </c>
      <c r="AH7" s="151">
        <v>0</v>
      </c>
      <c r="AI7" s="151">
        <v>0</v>
      </c>
      <c r="AJ7" s="151">
        <v>0</v>
      </c>
      <c r="AK7" s="152">
        <v>0</v>
      </c>
      <c r="AL7" s="152">
        <v>0</v>
      </c>
      <c r="AM7" s="152">
        <v>0</v>
      </c>
      <c r="AO7" s="117" t="s">
        <v>973</v>
      </c>
      <c r="AP7" s="117">
        <v>0.12</v>
      </c>
      <c r="AQ7" s="116">
        <v>0.14000000000000001</v>
      </c>
      <c r="AR7" s="116">
        <v>0.22</v>
      </c>
      <c r="AS7" s="146">
        <v>0.16</v>
      </c>
      <c r="AT7" s="146">
        <v>0.25</v>
      </c>
    </row>
    <row r="8" spans="1:47" ht="13.2">
      <c r="A8" s="260"/>
      <c r="B8" s="158">
        <f ca="1">Kalk!J3</f>
        <v>1.3860000000000001E-3</v>
      </c>
      <c r="C8" s="123"/>
      <c r="D8" s="123"/>
      <c r="E8" s="159"/>
      <c r="F8" s="6"/>
      <c r="G8" s="88">
        <f>IF(Kalk!B3="Die cut",1,0)</f>
        <v>0</v>
      </c>
      <c r="H8" s="88">
        <f ca="1">IF((G4-E4-14)/2&lt;=240,1,0)</f>
        <v>1</v>
      </c>
      <c r="I8" s="154">
        <f>Kalk!W3</f>
        <v>0</v>
      </c>
      <c r="J8" s="160"/>
      <c r="K8" s="161"/>
      <c r="L8" s="162">
        <v>0</v>
      </c>
      <c r="M8" s="163">
        <v>0</v>
      </c>
      <c r="N8" s="163">
        <v>0</v>
      </c>
      <c r="O8" s="163">
        <v>0</v>
      </c>
      <c r="P8" s="164">
        <v>0</v>
      </c>
      <c r="Q8" s="164">
        <v>0</v>
      </c>
      <c r="R8" s="164">
        <v>0</v>
      </c>
      <c r="S8" s="162">
        <v>0</v>
      </c>
      <c r="T8" s="163">
        <v>0</v>
      </c>
      <c r="U8" s="163">
        <v>0</v>
      </c>
      <c r="V8" s="163">
        <v>0</v>
      </c>
      <c r="W8" s="164">
        <v>0</v>
      </c>
      <c r="X8" s="164">
        <v>0</v>
      </c>
      <c r="Y8" s="164">
        <v>0</v>
      </c>
      <c r="Z8" s="162">
        <v>0</v>
      </c>
      <c r="AA8" s="163">
        <v>0</v>
      </c>
      <c r="AB8" s="163">
        <v>0</v>
      </c>
      <c r="AC8" s="163">
        <v>0</v>
      </c>
      <c r="AD8" s="164">
        <v>0</v>
      </c>
      <c r="AE8" s="164">
        <v>0</v>
      </c>
      <c r="AF8" s="164">
        <v>0</v>
      </c>
      <c r="AG8" s="162">
        <v>0</v>
      </c>
      <c r="AH8" s="163">
        <v>0</v>
      </c>
      <c r="AI8" s="163">
        <v>0</v>
      </c>
      <c r="AJ8" s="163">
        <v>0</v>
      </c>
      <c r="AK8" s="164">
        <v>0</v>
      </c>
      <c r="AL8" s="164">
        <v>0</v>
      </c>
      <c r="AM8" s="164">
        <v>0</v>
      </c>
      <c r="AO8" s="117" t="s">
        <v>974</v>
      </c>
      <c r="AP8" s="117">
        <v>0.09</v>
      </c>
      <c r="AQ8" s="116">
        <v>0.11</v>
      </c>
      <c r="AR8" s="116">
        <v>0.16</v>
      </c>
      <c r="AS8" s="146">
        <v>0.13</v>
      </c>
      <c r="AT8" s="146">
        <v>0.18</v>
      </c>
    </row>
    <row r="9" spans="1:47" ht="13.2">
      <c r="A9" s="260"/>
      <c r="B9" s="158"/>
      <c r="C9" s="123"/>
      <c r="D9" s="123"/>
      <c r="E9" s="159"/>
      <c r="F9" s="6"/>
      <c r="G9" s="6"/>
      <c r="H9" s="88"/>
      <c r="I9" s="154"/>
      <c r="J9" s="160"/>
      <c r="K9" s="161"/>
      <c r="L9" s="165">
        <f t="shared" ref="L9:AB9" si="0">SUM(L3:L8)</f>
        <v>0</v>
      </c>
      <c r="M9" s="88">
        <f t="shared" si="0"/>
        <v>0</v>
      </c>
      <c r="N9" s="88">
        <f t="shared" si="0"/>
        <v>0</v>
      </c>
      <c r="O9" s="88">
        <f t="shared" si="0"/>
        <v>0</v>
      </c>
      <c r="P9" s="88">
        <f t="shared" si="0"/>
        <v>0</v>
      </c>
      <c r="Q9" s="88">
        <f t="shared" si="0"/>
        <v>0</v>
      </c>
      <c r="R9" s="88">
        <f t="shared" si="0"/>
        <v>0</v>
      </c>
      <c r="S9" s="88">
        <f t="shared" si="0"/>
        <v>0</v>
      </c>
      <c r="T9" s="88">
        <f t="shared" si="0"/>
        <v>0</v>
      </c>
      <c r="U9" s="88">
        <f t="shared" si="0"/>
        <v>0</v>
      </c>
      <c r="V9" s="88">
        <f t="shared" si="0"/>
        <v>0</v>
      </c>
      <c r="W9" s="88">
        <f t="shared" si="0"/>
        <v>0</v>
      </c>
      <c r="X9" s="88">
        <f t="shared" si="0"/>
        <v>0</v>
      </c>
      <c r="Y9" s="88">
        <f t="shared" si="0"/>
        <v>0</v>
      </c>
      <c r="Z9" s="88">
        <f t="shared" si="0"/>
        <v>0</v>
      </c>
      <c r="AA9" s="88">
        <f t="shared" si="0"/>
        <v>0</v>
      </c>
      <c r="AB9" s="88">
        <f t="shared" si="0"/>
        <v>0</v>
      </c>
      <c r="AC9" s="88">
        <f>SUM(AB3:AB8)</f>
        <v>0</v>
      </c>
      <c r="AD9" s="88">
        <f t="shared" ref="AD9:AM9" si="1">SUM(AD3:AD8)</f>
        <v>0</v>
      </c>
      <c r="AE9" s="88">
        <f t="shared" si="1"/>
        <v>0</v>
      </c>
      <c r="AF9" s="88">
        <f t="shared" si="1"/>
        <v>0</v>
      </c>
      <c r="AG9" s="88">
        <f t="shared" si="1"/>
        <v>0</v>
      </c>
      <c r="AH9" s="88">
        <f t="shared" si="1"/>
        <v>0</v>
      </c>
      <c r="AI9" s="88">
        <f t="shared" si="1"/>
        <v>0</v>
      </c>
      <c r="AJ9" s="88">
        <f t="shared" si="1"/>
        <v>0</v>
      </c>
      <c r="AK9" s="88">
        <f t="shared" si="1"/>
        <v>0</v>
      </c>
      <c r="AL9" s="88">
        <f t="shared" si="1"/>
        <v>0</v>
      </c>
      <c r="AM9" s="88">
        <f t="shared" si="1"/>
        <v>0</v>
      </c>
    </row>
    <row r="10" spans="1:47" ht="13.2">
      <c r="A10" s="260"/>
      <c r="B10" s="123"/>
      <c r="C10" s="123"/>
      <c r="D10" s="123"/>
      <c r="E10" s="159"/>
      <c r="F10" s="6"/>
      <c r="G10" s="6"/>
      <c r="H10" s="6"/>
      <c r="I10" s="6"/>
      <c r="J10" s="166"/>
    </row>
    <row r="11" spans="1:47" ht="13.2">
      <c r="B11" s="167"/>
      <c r="C11" s="167"/>
      <c r="D11" s="167"/>
      <c r="E11" s="167"/>
      <c r="F11" s="167"/>
      <c r="G11" s="167"/>
      <c r="H11" s="167"/>
      <c r="I11" s="166"/>
      <c r="J11" s="88" t="s">
        <v>83</v>
      </c>
      <c r="K11" s="110" t="s">
        <v>956</v>
      </c>
      <c r="L11" s="110" t="s">
        <v>957</v>
      </c>
      <c r="M11" s="116" t="s">
        <v>958</v>
      </c>
      <c r="N11" s="116" t="s">
        <v>959</v>
      </c>
      <c r="O11" s="116" t="s">
        <v>960</v>
      </c>
      <c r="P11" s="146" t="s">
        <v>958</v>
      </c>
      <c r="Q11" s="146" t="s">
        <v>959</v>
      </c>
      <c r="R11" s="146" t="s">
        <v>960</v>
      </c>
      <c r="S11" s="110" t="s">
        <v>957</v>
      </c>
      <c r="T11" s="116" t="s">
        <v>958</v>
      </c>
      <c r="U11" s="116" t="s">
        <v>959</v>
      </c>
      <c r="V11" s="116" t="s">
        <v>960</v>
      </c>
      <c r="W11" s="146" t="s">
        <v>958</v>
      </c>
      <c r="X11" s="146" t="s">
        <v>959</v>
      </c>
      <c r="Y11" s="146" t="s">
        <v>960</v>
      </c>
      <c r="Z11" s="110" t="s">
        <v>957</v>
      </c>
      <c r="AA11" s="116" t="s">
        <v>958</v>
      </c>
      <c r="AB11" s="116" t="s">
        <v>959</v>
      </c>
      <c r="AC11" s="116" t="s">
        <v>960</v>
      </c>
      <c r="AD11" s="146" t="s">
        <v>958</v>
      </c>
      <c r="AE11" s="146" t="s">
        <v>959</v>
      </c>
      <c r="AF11" s="146" t="s">
        <v>960</v>
      </c>
      <c r="AG11" s="110" t="s">
        <v>957</v>
      </c>
      <c r="AH11" s="116" t="s">
        <v>958</v>
      </c>
      <c r="AI11" s="116" t="s">
        <v>959</v>
      </c>
      <c r="AJ11" s="116" t="s">
        <v>960</v>
      </c>
      <c r="AK11" s="146" t="s">
        <v>958</v>
      </c>
      <c r="AL11" s="146" t="s">
        <v>959</v>
      </c>
      <c r="AM11" s="146" t="s">
        <v>960</v>
      </c>
    </row>
    <row r="12" spans="1:47" ht="13.35" customHeight="1">
      <c r="A12" s="260">
        <v>2</v>
      </c>
      <c r="B12" s="267" t="s">
        <v>962</v>
      </c>
      <c r="C12" s="147" t="s">
        <v>56</v>
      </c>
      <c r="D12" s="147" t="s">
        <v>57</v>
      </c>
      <c r="E12" s="147" t="s">
        <v>66</v>
      </c>
      <c r="F12" s="268" t="s">
        <v>963</v>
      </c>
      <c r="G12" s="268"/>
      <c r="H12" s="148" t="s">
        <v>964</v>
      </c>
      <c r="I12" s="269" t="s">
        <v>965</v>
      </c>
      <c r="J12" s="88">
        <f>Kalk!AH7</f>
        <v>0</v>
      </c>
      <c r="K12" s="150" t="str">
        <f ca="1">IF($B14=1,SUM(L18:R18),"")</f>
        <v/>
      </c>
      <c r="L12" s="150">
        <v>0</v>
      </c>
      <c r="M12" s="151">
        <v>0</v>
      </c>
      <c r="N12" s="151">
        <v>0</v>
      </c>
      <c r="O12" s="151">
        <v>0</v>
      </c>
      <c r="P12" s="152">
        <v>0</v>
      </c>
      <c r="Q12" s="152">
        <v>0</v>
      </c>
      <c r="R12" s="152">
        <v>0</v>
      </c>
      <c r="S12" s="150">
        <v>0</v>
      </c>
      <c r="T12" s="151">
        <v>0</v>
      </c>
      <c r="U12" s="151">
        <v>0</v>
      </c>
      <c r="V12" s="151">
        <v>0</v>
      </c>
      <c r="W12" s="152">
        <v>0</v>
      </c>
      <c r="X12" s="152">
        <v>0</v>
      </c>
      <c r="Y12" s="152">
        <v>0</v>
      </c>
      <c r="Z12" s="150">
        <v>0</v>
      </c>
      <c r="AA12" s="151">
        <v>0</v>
      </c>
      <c r="AB12" s="151">
        <v>0</v>
      </c>
      <c r="AC12" s="151">
        <v>0</v>
      </c>
      <c r="AD12" s="152">
        <v>0</v>
      </c>
      <c r="AE12" s="152">
        <v>0</v>
      </c>
      <c r="AF12" s="152">
        <v>0</v>
      </c>
      <c r="AG12" s="150">
        <v>0</v>
      </c>
      <c r="AH12" s="151">
        <v>0</v>
      </c>
      <c r="AI12" s="151">
        <v>0</v>
      </c>
      <c r="AJ12" s="151">
        <v>0</v>
      </c>
      <c r="AK12" s="152">
        <v>0</v>
      </c>
      <c r="AL12" s="152">
        <v>0</v>
      </c>
      <c r="AM12" s="152">
        <v>0</v>
      </c>
    </row>
    <row r="13" spans="1:47" ht="13.2">
      <c r="A13" s="260"/>
      <c r="B13" s="267"/>
      <c r="C13" s="147">
        <f>Kalk!C8</f>
        <v>0</v>
      </c>
      <c r="D13" s="147">
        <f>Kalk!E8</f>
        <v>0</v>
      </c>
      <c r="E13" s="147">
        <f>Kalk!G8</f>
        <v>0</v>
      </c>
      <c r="F13" s="147">
        <f ca="1">Kalk!I8</f>
        <v>63</v>
      </c>
      <c r="G13" s="147">
        <f ca="1">Kalk!I10</f>
        <v>22</v>
      </c>
      <c r="H13" s="147" t="str">
        <f>Kalk!B8</f>
        <v>F0201</v>
      </c>
      <c r="I13" s="269"/>
      <c r="J13" s="88">
        <f>Kalk!AH8</f>
        <v>0</v>
      </c>
      <c r="K13" s="150" t="str">
        <f ca="1">IF($B14=1,SUM(S18:Y18),"")</f>
        <v/>
      </c>
      <c r="L13" s="150">
        <v>0</v>
      </c>
      <c r="M13" s="151">
        <v>0</v>
      </c>
      <c r="N13" s="151">
        <v>0</v>
      </c>
      <c r="O13" s="151">
        <v>0</v>
      </c>
      <c r="P13" s="152">
        <v>0</v>
      </c>
      <c r="Q13" s="152">
        <v>0</v>
      </c>
      <c r="R13" s="152">
        <v>0</v>
      </c>
      <c r="S13" s="150">
        <v>0</v>
      </c>
      <c r="T13" s="151">
        <v>0</v>
      </c>
      <c r="U13" s="151">
        <v>0</v>
      </c>
      <c r="V13" s="151">
        <v>0</v>
      </c>
      <c r="W13" s="152">
        <v>0</v>
      </c>
      <c r="X13" s="152">
        <v>0</v>
      </c>
      <c r="Y13" s="152">
        <v>0</v>
      </c>
      <c r="Z13" s="150">
        <v>0</v>
      </c>
      <c r="AA13" s="151">
        <v>0</v>
      </c>
      <c r="AB13" s="151">
        <v>0</v>
      </c>
      <c r="AC13" s="151">
        <v>0</v>
      </c>
      <c r="AD13" s="152">
        <v>0</v>
      </c>
      <c r="AE13" s="152">
        <v>0</v>
      </c>
      <c r="AF13" s="152">
        <v>0</v>
      </c>
      <c r="AG13" s="150">
        <v>0</v>
      </c>
      <c r="AH13" s="151">
        <v>0</v>
      </c>
      <c r="AI13" s="151">
        <v>0</v>
      </c>
      <c r="AJ13" s="151">
        <v>0</v>
      </c>
      <c r="AK13" s="152">
        <v>0</v>
      </c>
      <c r="AL13" s="152">
        <v>0</v>
      </c>
      <c r="AM13" s="152">
        <v>0</v>
      </c>
    </row>
    <row r="14" spans="1:47" ht="13.2">
      <c r="A14" s="260"/>
      <c r="B14" s="153">
        <f ca="1">IF(SUM(C41:H41)+H44=7,1,0)</f>
        <v>0</v>
      </c>
      <c r="C14" s="88">
        <f>IF((C40&gt;132)*AND(C40&lt;941),1,0)</f>
        <v>0</v>
      </c>
      <c r="D14" s="88">
        <f>IF((D40&gt;=132)*AND(D40&lt;481),1,0)</f>
        <v>0</v>
      </c>
      <c r="E14" s="88">
        <f>IF((E40&gt;89)*AND(E40&lt;481),1,0)</f>
        <v>0</v>
      </c>
      <c r="F14" s="88">
        <f ca="1">IF((F40&gt;547)*AND(F40&lt;=2180),1,0)</f>
        <v>0</v>
      </c>
      <c r="G14" s="88">
        <f ca="1">IF((G40&gt;263)*AND(G40&lt;891),1,0)</f>
        <v>0</v>
      </c>
      <c r="H14" s="88">
        <f>IF(OR(H40="F0200",H40="F0201",H40="F0202",H40="F0203",H40="F0201-F0203",H40="F0200-F0203",H40="F0501"),1,0)</f>
        <v>1</v>
      </c>
      <c r="I14" s="154" t="str">
        <f>Kalk!M12</f>
        <v>-</v>
      </c>
      <c r="J14" s="88">
        <f>Kalk!AH9</f>
        <v>0</v>
      </c>
      <c r="K14" s="150" t="str">
        <f ca="1">IF($B14=1,SUM(Z18:AF18),"")</f>
        <v/>
      </c>
      <c r="L14" s="150">
        <v>0</v>
      </c>
      <c r="M14" s="151">
        <v>0</v>
      </c>
      <c r="N14" s="151">
        <v>0</v>
      </c>
      <c r="O14" s="151">
        <v>0</v>
      </c>
      <c r="P14" s="152">
        <v>0</v>
      </c>
      <c r="Q14" s="152">
        <v>0</v>
      </c>
      <c r="R14" s="152">
        <v>0</v>
      </c>
      <c r="S14" s="150">
        <v>0</v>
      </c>
      <c r="T14" s="151">
        <v>0</v>
      </c>
      <c r="U14" s="151">
        <v>0</v>
      </c>
      <c r="V14" s="151">
        <v>0</v>
      </c>
      <c r="W14" s="152">
        <v>0</v>
      </c>
      <c r="X14" s="152">
        <v>0</v>
      </c>
      <c r="Y14" s="152">
        <v>0</v>
      </c>
      <c r="Z14" s="150">
        <v>0</v>
      </c>
      <c r="AA14" s="151">
        <v>0</v>
      </c>
      <c r="AB14" s="151">
        <v>0</v>
      </c>
      <c r="AC14" s="151">
        <v>0</v>
      </c>
      <c r="AD14" s="152">
        <v>0</v>
      </c>
      <c r="AE14" s="152">
        <v>0</v>
      </c>
      <c r="AF14" s="152">
        <v>0</v>
      </c>
      <c r="AG14" s="150">
        <v>0</v>
      </c>
      <c r="AH14" s="151">
        <v>0</v>
      </c>
      <c r="AI14" s="151">
        <v>0</v>
      </c>
      <c r="AJ14" s="151">
        <v>0</v>
      </c>
      <c r="AK14" s="152">
        <v>0</v>
      </c>
      <c r="AL14" s="152">
        <v>0</v>
      </c>
      <c r="AM14" s="152">
        <v>0</v>
      </c>
    </row>
    <row r="15" spans="1:47" ht="12.9" customHeight="1">
      <c r="A15" s="260"/>
      <c r="B15" s="269" t="s">
        <v>968</v>
      </c>
      <c r="E15" t="s">
        <v>35</v>
      </c>
      <c r="G15" s="269" t="s">
        <v>969</v>
      </c>
      <c r="H15" s="269" t="s">
        <v>970</v>
      </c>
      <c r="I15" s="269" t="s">
        <v>971</v>
      </c>
      <c r="J15" s="88">
        <f>Kalk!AH10</f>
        <v>0</v>
      </c>
      <c r="K15" s="150" t="str">
        <f ca="1">IF($B14=1,SUM(AG18:AM18),"")</f>
        <v/>
      </c>
      <c r="L15" s="150">
        <v>0</v>
      </c>
      <c r="M15" s="151">
        <v>0</v>
      </c>
      <c r="N15" s="151">
        <v>0</v>
      </c>
      <c r="O15" s="151">
        <v>0</v>
      </c>
      <c r="P15" s="152">
        <v>0</v>
      </c>
      <c r="Q15" s="152">
        <v>0</v>
      </c>
      <c r="R15" s="152">
        <v>0</v>
      </c>
      <c r="S15" s="150">
        <v>0</v>
      </c>
      <c r="T15" s="151">
        <v>0</v>
      </c>
      <c r="U15" s="151">
        <v>0</v>
      </c>
      <c r="V15" s="151">
        <v>0</v>
      </c>
      <c r="W15" s="152">
        <v>0</v>
      </c>
      <c r="X15" s="152">
        <v>0</v>
      </c>
      <c r="Y15" s="152">
        <v>0</v>
      </c>
      <c r="Z15" s="150">
        <v>0</v>
      </c>
      <c r="AA15" s="151">
        <v>0</v>
      </c>
      <c r="AB15" s="151">
        <v>0</v>
      </c>
      <c r="AC15" s="151">
        <v>0</v>
      </c>
      <c r="AD15" s="152">
        <v>0</v>
      </c>
      <c r="AE15" s="152">
        <v>0</v>
      </c>
      <c r="AF15" s="152">
        <v>0</v>
      </c>
      <c r="AG15" s="150">
        <v>0</v>
      </c>
      <c r="AH15" s="151">
        <v>0</v>
      </c>
      <c r="AI15" s="151">
        <v>0</v>
      </c>
      <c r="AJ15" s="151">
        <v>0</v>
      </c>
      <c r="AK15" s="152">
        <v>0</v>
      </c>
      <c r="AL15" s="152">
        <v>0</v>
      </c>
      <c r="AM15" s="152">
        <v>0</v>
      </c>
    </row>
    <row r="16" spans="1:47" ht="13.2">
      <c r="A16" s="260"/>
      <c r="B16" s="269"/>
      <c r="C16" s="155"/>
      <c r="D16" s="155"/>
      <c r="F16" s="156"/>
      <c r="G16" s="269"/>
      <c r="H16" s="269"/>
      <c r="I16" s="269"/>
      <c r="J16" s="6"/>
      <c r="K16" s="157"/>
      <c r="L16" s="150">
        <v>0</v>
      </c>
      <c r="M16" s="151">
        <v>0</v>
      </c>
      <c r="N16" s="151">
        <v>0</v>
      </c>
      <c r="O16" s="151">
        <v>0</v>
      </c>
      <c r="P16" s="152">
        <v>0</v>
      </c>
      <c r="Q16" s="152">
        <v>0</v>
      </c>
      <c r="R16" s="152">
        <v>0</v>
      </c>
      <c r="S16" s="150">
        <v>0</v>
      </c>
      <c r="T16" s="151">
        <v>0</v>
      </c>
      <c r="U16" s="151">
        <v>0</v>
      </c>
      <c r="V16" s="151">
        <v>0</v>
      </c>
      <c r="W16" s="152">
        <v>0</v>
      </c>
      <c r="X16" s="152">
        <v>0</v>
      </c>
      <c r="Y16" s="152">
        <v>0</v>
      </c>
      <c r="Z16" s="150">
        <v>0</v>
      </c>
      <c r="AA16" s="151">
        <v>0</v>
      </c>
      <c r="AB16" s="151">
        <v>0</v>
      </c>
      <c r="AC16" s="151">
        <v>0</v>
      </c>
      <c r="AD16" s="152">
        <v>0</v>
      </c>
      <c r="AE16" s="152">
        <v>0</v>
      </c>
      <c r="AF16" s="152">
        <v>0</v>
      </c>
      <c r="AG16" s="150">
        <v>0</v>
      </c>
      <c r="AH16" s="151">
        <v>0</v>
      </c>
      <c r="AI16" s="151">
        <v>0</v>
      </c>
      <c r="AJ16" s="151">
        <v>0</v>
      </c>
      <c r="AK16" s="152">
        <v>0</v>
      </c>
      <c r="AL16" s="152">
        <v>0</v>
      </c>
      <c r="AM16" s="152">
        <v>0</v>
      </c>
    </row>
    <row r="17" spans="1:39" ht="13.2">
      <c r="A17" s="260"/>
      <c r="B17" s="158">
        <f ca="1">Kalk!J7</f>
        <v>1.3860000000000001E-3</v>
      </c>
      <c r="C17" s="123"/>
      <c r="D17" s="123"/>
      <c r="E17" s="159"/>
      <c r="F17" s="6"/>
      <c r="G17" s="88">
        <f>IF(Kalk!B3="Die cut",1,0)</f>
        <v>0</v>
      </c>
      <c r="H17" s="88">
        <f ca="1">IF((G13-E13-14)/2&lt;=240,1,0)</f>
        <v>1</v>
      </c>
      <c r="I17" s="154">
        <f>Kalk!W7</f>
        <v>0</v>
      </c>
      <c r="J17" s="160"/>
      <c r="K17" s="161"/>
      <c r="L17" s="162">
        <v>0</v>
      </c>
      <c r="M17" s="163">
        <v>0</v>
      </c>
      <c r="N17" s="163">
        <v>0</v>
      </c>
      <c r="O17" s="163">
        <v>0</v>
      </c>
      <c r="P17" s="164">
        <v>0</v>
      </c>
      <c r="Q17" s="164">
        <v>0</v>
      </c>
      <c r="R17" s="164">
        <v>0</v>
      </c>
      <c r="S17" s="162">
        <v>0</v>
      </c>
      <c r="T17" s="163">
        <v>0</v>
      </c>
      <c r="U17" s="163">
        <v>0</v>
      </c>
      <c r="V17" s="163">
        <v>0</v>
      </c>
      <c r="W17" s="164">
        <v>0</v>
      </c>
      <c r="X17" s="164">
        <v>0</v>
      </c>
      <c r="Y17" s="164">
        <v>0</v>
      </c>
      <c r="Z17" s="162">
        <v>0</v>
      </c>
      <c r="AA17" s="163">
        <v>0</v>
      </c>
      <c r="AB17" s="163">
        <v>0</v>
      </c>
      <c r="AC17" s="163">
        <v>0</v>
      </c>
      <c r="AD17" s="164">
        <v>0</v>
      </c>
      <c r="AE17" s="164">
        <v>0</v>
      </c>
      <c r="AF17" s="164">
        <v>0</v>
      </c>
      <c r="AG17" s="162">
        <v>0</v>
      </c>
      <c r="AH17" s="163">
        <v>0</v>
      </c>
      <c r="AI17" s="163">
        <v>0</v>
      </c>
      <c r="AJ17" s="163">
        <v>0</v>
      </c>
      <c r="AK17" s="164">
        <v>0</v>
      </c>
      <c r="AL17" s="164">
        <v>0</v>
      </c>
      <c r="AM17" s="164">
        <v>0</v>
      </c>
    </row>
    <row r="18" spans="1:39" ht="13.2">
      <c r="A18" s="260"/>
      <c r="B18" s="158"/>
      <c r="C18" s="123"/>
      <c r="D18" s="123"/>
      <c r="E18" s="159"/>
      <c r="F18" s="6"/>
      <c r="G18" s="6"/>
      <c r="H18" s="6"/>
      <c r="I18" s="154"/>
      <c r="J18" s="160"/>
      <c r="K18" s="161"/>
      <c r="L18" s="165">
        <f t="shared" ref="L18:AB18" si="2">SUM(L12:L17)</f>
        <v>0</v>
      </c>
      <c r="M18" s="88">
        <f t="shared" si="2"/>
        <v>0</v>
      </c>
      <c r="N18" s="88">
        <f t="shared" si="2"/>
        <v>0</v>
      </c>
      <c r="O18" s="88">
        <f t="shared" si="2"/>
        <v>0</v>
      </c>
      <c r="P18" s="88">
        <f t="shared" si="2"/>
        <v>0</v>
      </c>
      <c r="Q18" s="88">
        <f t="shared" si="2"/>
        <v>0</v>
      </c>
      <c r="R18" s="88">
        <f t="shared" si="2"/>
        <v>0</v>
      </c>
      <c r="S18" s="88">
        <f t="shared" si="2"/>
        <v>0</v>
      </c>
      <c r="T18" s="88">
        <f t="shared" si="2"/>
        <v>0</v>
      </c>
      <c r="U18" s="88">
        <f t="shared" si="2"/>
        <v>0</v>
      </c>
      <c r="V18" s="88">
        <f t="shared" si="2"/>
        <v>0</v>
      </c>
      <c r="W18" s="88">
        <f t="shared" si="2"/>
        <v>0</v>
      </c>
      <c r="X18" s="88">
        <f t="shared" si="2"/>
        <v>0</v>
      </c>
      <c r="Y18" s="88">
        <f t="shared" si="2"/>
        <v>0</v>
      </c>
      <c r="Z18" s="88">
        <f t="shared" si="2"/>
        <v>0</v>
      </c>
      <c r="AA18" s="88">
        <f t="shared" si="2"/>
        <v>0</v>
      </c>
      <c r="AB18" s="88">
        <f t="shared" si="2"/>
        <v>0</v>
      </c>
      <c r="AC18" s="88">
        <f>SUM(AB12:AB17)</f>
        <v>0</v>
      </c>
      <c r="AD18" s="88">
        <f t="shared" ref="AD18:AM18" si="3">SUM(AD12:AD17)</f>
        <v>0</v>
      </c>
      <c r="AE18" s="88">
        <f t="shared" si="3"/>
        <v>0</v>
      </c>
      <c r="AF18" s="88">
        <f t="shared" si="3"/>
        <v>0</v>
      </c>
      <c r="AG18" s="88">
        <f t="shared" si="3"/>
        <v>0</v>
      </c>
      <c r="AH18" s="88">
        <f t="shared" si="3"/>
        <v>0</v>
      </c>
      <c r="AI18" s="88">
        <f t="shared" si="3"/>
        <v>0</v>
      </c>
      <c r="AJ18" s="88">
        <f t="shared" si="3"/>
        <v>0</v>
      </c>
      <c r="AK18" s="88">
        <f t="shared" si="3"/>
        <v>0</v>
      </c>
      <c r="AL18" s="88">
        <f t="shared" si="3"/>
        <v>0</v>
      </c>
      <c r="AM18" s="88">
        <f t="shared" si="3"/>
        <v>0</v>
      </c>
    </row>
    <row r="19" spans="1:39" ht="13.2">
      <c r="A19" s="260"/>
      <c r="B19" s="123"/>
      <c r="C19" s="123"/>
      <c r="D19" s="123"/>
      <c r="E19" s="159"/>
      <c r="F19" s="6"/>
      <c r="G19" s="6"/>
      <c r="H19" s="6"/>
      <c r="I19" s="6"/>
      <c r="J19" s="166"/>
    </row>
    <row r="20" spans="1:39" ht="13.2">
      <c r="B20" s="167"/>
      <c r="C20" s="167"/>
      <c r="D20" s="167"/>
      <c r="E20" s="167"/>
      <c r="F20" s="167"/>
      <c r="G20" s="167"/>
      <c r="H20" s="167"/>
      <c r="I20" s="167"/>
      <c r="J20" s="88" t="s">
        <v>83</v>
      </c>
      <c r="K20" s="110" t="s">
        <v>956</v>
      </c>
      <c r="L20" s="110" t="s">
        <v>957</v>
      </c>
      <c r="M20" s="116" t="s">
        <v>958</v>
      </c>
      <c r="N20" s="116" t="s">
        <v>959</v>
      </c>
      <c r="O20" s="116" t="s">
        <v>960</v>
      </c>
      <c r="P20" s="146" t="s">
        <v>958</v>
      </c>
      <c r="Q20" s="146" t="s">
        <v>959</v>
      </c>
      <c r="R20" s="146" t="s">
        <v>960</v>
      </c>
      <c r="S20" s="110" t="s">
        <v>957</v>
      </c>
      <c r="T20" s="116" t="s">
        <v>958</v>
      </c>
      <c r="U20" s="116" t="s">
        <v>959</v>
      </c>
      <c r="V20" s="116" t="s">
        <v>960</v>
      </c>
      <c r="W20" s="146" t="s">
        <v>958</v>
      </c>
      <c r="X20" s="146" t="s">
        <v>959</v>
      </c>
      <c r="Y20" s="146" t="s">
        <v>960</v>
      </c>
      <c r="Z20" s="110" t="s">
        <v>957</v>
      </c>
      <c r="AA20" s="116" t="s">
        <v>958</v>
      </c>
      <c r="AB20" s="116" t="s">
        <v>959</v>
      </c>
      <c r="AC20" s="116" t="s">
        <v>960</v>
      </c>
      <c r="AD20" s="146" t="s">
        <v>958</v>
      </c>
      <c r="AE20" s="146" t="s">
        <v>959</v>
      </c>
      <c r="AF20" s="146" t="s">
        <v>960</v>
      </c>
      <c r="AG20" s="110" t="s">
        <v>957</v>
      </c>
      <c r="AH20" s="116" t="s">
        <v>958</v>
      </c>
      <c r="AI20" s="116" t="s">
        <v>959</v>
      </c>
      <c r="AJ20" s="116" t="s">
        <v>960</v>
      </c>
      <c r="AK20" s="146" t="s">
        <v>958</v>
      </c>
      <c r="AL20" s="146" t="s">
        <v>959</v>
      </c>
      <c r="AM20" s="146" t="s">
        <v>960</v>
      </c>
    </row>
    <row r="21" spans="1:39" ht="13.35" customHeight="1">
      <c r="A21" s="260">
        <v>3</v>
      </c>
      <c r="B21" s="267" t="s">
        <v>962</v>
      </c>
      <c r="C21" s="147" t="s">
        <v>56</v>
      </c>
      <c r="D21" s="147" t="s">
        <v>57</v>
      </c>
      <c r="E21" s="147" t="s">
        <v>66</v>
      </c>
      <c r="F21" s="268" t="s">
        <v>963</v>
      </c>
      <c r="G21" s="268"/>
      <c r="H21" s="148" t="s">
        <v>964</v>
      </c>
      <c r="I21" s="269" t="s">
        <v>965</v>
      </c>
      <c r="J21" s="88">
        <f>Kalk!AH11</f>
        <v>0</v>
      </c>
      <c r="K21" s="150" t="str">
        <f ca="1">IF($B23=1,SUM(L27:R27),"")</f>
        <v/>
      </c>
      <c r="L21" s="150">
        <v>0</v>
      </c>
      <c r="M21" s="151">
        <v>0</v>
      </c>
      <c r="N21" s="151">
        <v>0</v>
      </c>
      <c r="O21" s="151">
        <v>0</v>
      </c>
      <c r="P21" s="152">
        <v>0</v>
      </c>
      <c r="Q21" s="152">
        <v>0</v>
      </c>
      <c r="R21" s="152">
        <v>0</v>
      </c>
      <c r="S21" s="150">
        <v>0</v>
      </c>
      <c r="T21" s="151">
        <v>0</v>
      </c>
      <c r="U21" s="151">
        <v>0</v>
      </c>
      <c r="V21" s="151">
        <v>0</v>
      </c>
      <c r="W21" s="152">
        <v>0</v>
      </c>
      <c r="X21" s="152">
        <v>0</v>
      </c>
      <c r="Y21" s="152">
        <v>0</v>
      </c>
      <c r="Z21" s="150">
        <v>0</v>
      </c>
      <c r="AA21" s="151">
        <v>0</v>
      </c>
      <c r="AB21" s="151">
        <v>0</v>
      </c>
      <c r="AC21" s="151">
        <v>0</v>
      </c>
      <c r="AD21" s="152">
        <v>0</v>
      </c>
      <c r="AE21" s="152">
        <v>0</v>
      </c>
      <c r="AF21" s="152">
        <v>0</v>
      </c>
      <c r="AG21" s="150">
        <v>0</v>
      </c>
      <c r="AH21" s="151">
        <v>0</v>
      </c>
      <c r="AI21" s="151">
        <v>0</v>
      </c>
      <c r="AJ21" s="151">
        <v>0</v>
      </c>
      <c r="AK21" s="152">
        <v>0</v>
      </c>
      <c r="AL21" s="152">
        <v>0</v>
      </c>
      <c r="AM21" s="152">
        <v>0</v>
      </c>
    </row>
    <row r="22" spans="1:39" ht="13.2">
      <c r="A22" s="260"/>
      <c r="B22" s="267"/>
      <c r="C22" s="147">
        <f>Kalk!C12</f>
        <v>0</v>
      </c>
      <c r="D22" s="147">
        <f>Kalk!E12</f>
        <v>0</v>
      </c>
      <c r="E22" s="147">
        <f>Kalk!G12</f>
        <v>0</v>
      </c>
      <c r="F22" s="147">
        <f ca="1">Kalk!I12</f>
        <v>47</v>
      </c>
      <c r="G22" s="147">
        <f ca="1">Kalk!I14</f>
        <v>8</v>
      </c>
      <c r="H22" s="147" t="str">
        <f>Kalk!B12</f>
        <v>F0201</v>
      </c>
      <c r="I22" s="269"/>
      <c r="J22" s="88">
        <f>Kalk!AH12</f>
        <v>0</v>
      </c>
      <c r="K22" s="150" t="str">
        <f ca="1">IF($B23=1,SUM(S27:Y27),"")</f>
        <v/>
      </c>
      <c r="L22" s="150">
        <v>0</v>
      </c>
      <c r="M22" s="151">
        <v>0</v>
      </c>
      <c r="N22" s="151">
        <v>0</v>
      </c>
      <c r="O22" s="151">
        <v>0</v>
      </c>
      <c r="P22" s="152">
        <v>0</v>
      </c>
      <c r="Q22" s="152">
        <v>0</v>
      </c>
      <c r="R22" s="152">
        <v>0</v>
      </c>
      <c r="S22" s="150">
        <v>0</v>
      </c>
      <c r="T22" s="151">
        <v>0</v>
      </c>
      <c r="U22" s="151">
        <v>0</v>
      </c>
      <c r="V22" s="151">
        <v>0</v>
      </c>
      <c r="W22" s="152">
        <v>0</v>
      </c>
      <c r="X22" s="152">
        <v>0</v>
      </c>
      <c r="Y22" s="152">
        <v>0</v>
      </c>
      <c r="Z22" s="150">
        <v>0</v>
      </c>
      <c r="AA22" s="151">
        <v>0</v>
      </c>
      <c r="AB22" s="151">
        <v>0</v>
      </c>
      <c r="AC22" s="151">
        <v>0</v>
      </c>
      <c r="AD22" s="152">
        <v>0</v>
      </c>
      <c r="AE22" s="152">
        <v>0</v>
      </c>
      <c r="AF22" s="152">
        <v>0</v>
      </c>
      <c r="AG22" s="150">
        <v>0</v>
      </c>
      <c r="AH22" s="151">
        <v>0</v>
      </c>
      <c r="AI22" s="151">
        <v>0</v>
      </c>
      <c r="AJ22" s="151">
        <v>0</v>
      </c>
      <c r="AK22" s="152">
        <v>0</v>
      </c>
      <c r="AL22" s="152">
        <v>0</v>
      </c>
      <c r="AM22" s="152">
        <v>0</v>
      </c>
    </row>
    <row r="23" spans="1:39" ht="13.2">
      <c r="A23" s="260"/>
      <c r="B23" s="153">
        <f ca="1">IF(SUM(C50:H50)+H53=7,1,0)</f>
        <v>0</v>
      </c>
      <c r="C23" s="88">
        <f>IF((C49&gt;132)*AND(C49&lt;941),1,0)</f>
        <v>0</v>
      </c>
      <c r="D23" s="88">
        <f>IF((D49&gt;=132)*AND(D49&lt;481),1,0)</f>
        <v>0</v>
      </c>
      <c r="E23" s="88">
        <f>IF((E49&gt;89)*AND(E49&lt;481),1,0)</f>
        <v>0</v>
      </c>
      <c r="F23" s="88">
        <f ca="1">IF((F49&gt;547)*AND(F49&lt;=2180),1,0)</f>
        <v>0</v>
      </c>
      <c r="G23" s="88">
        <f ca="1">IF((G49&gt;263)*AND(G49&lt;891),1,0)</f>
        <v>0</v>
      </c>
      <c r="H23" s="88">
        <f>IF(OR(H49="F0200",H49="F0201",H49="F0202",H49="F0203",H49="F0201-F0203",H49="F0200-F0203",H49="F0501"),1,0)</f>
        <v>1</v>
      </c>
      <c r="I23" s="154" t="str">
        <f>Kalk!M21</f>
        <v>-</v>
      </c>
      <c r="J23" s="88">
        <f>Kalk!AH13</f>
        <v>0</v>
      </c>
      <c r="K23" s="150" t="str">
        <f ca="1">IF($B23=1,SUM(Z27:AF27),"")</f>
        <v/>
      </c>
      <c r="L23" s="150">
        <v>0</v>
      </c>
      <c r="M23" s="151">
        <v>0</v>
      </c>
      <c r="N23" s="151">
        <v>0</v>
      </c>
      <c r="O23" s="151">
        <v>0</v>
      </c>
      <c r="P23" s="152">
        <v>0</v>
      </c>
      <c r="Q23" s="152">
        <v>0</v>
      </c>
      <c r="R23" s="152">
        <v>0</v>
      </c>
      <c r="S23" s="150">
        <v>0</v>
      </c>
      <c r="T23" s="151">
        <v>0</v>
      </c>
      <c r="U23" s="151">
        <v>0</v>
      </c>
      <c r="V23" s="151">
        <v>0</v>
      </c>
      <c r="W23" s="152">
        <v>0</v>
      </c>
      <c r="X23" s="152">
        <v>0</v>
      </c>
      <c r="Y23" s="152">
        <v>0</v>
      </c>
      <c r="Z23" s="150">
        <v>0</v>
      </c>
      <c r="AA23" s="151">
        <v>0</v>
      </c>
      <c r="AB23" s="151">
        <v>0</v>
      </c>
      <c r="AC23" s="151">
        <v>0</v>
      </c>
      <c r="AD23" s="152">
        <v>0</v>
      </c>
      <c r="AE23" s="152">
        <v>0</v>
      </c>
      <c r="AF23" s="152">
        <v>0</v>
      </c>
      <c r="AG23" s="150">
        <v>0</v>
      </c>
      <c r="AH23" s="151">
        <v>0</v>
      </c>
      <c r="AI23" s="151">
        <v>0</v>
      </c>
      <c r="AJ23" s="151">
        <v>0</v>
      </c>
      <c r="AK23" s="152">
        <v>0</v>
      </c>
      <c r="AL23" s="152">
        <v>0</v>
      </c>
      <c r="AM23" s="152">
        <v>0</v>
      </c>
    </row>
    <row r="24" spans="1:39" ht="12.9" customHeight="1">
      <c r="A24" s="260"/>
      <c r="B24" s="269" t="s">
        <v>968</v>
      </c>
      <c r="E24" t="s">
        <v>35</v>
      </c>
      <c r="G24" s="269" t="s">
        <v>969</v>
      </c>
      <c r="H24" s="269" t="s">
        <v>970</v>
      </c>
      <c r="I24" s="269" t="s">
        <v>971</v>
      </c>
      <c r="J24" s="88">
        <f>Kalk!AH14</f>
        <v>0</v>
      </c>
      <c r="K24" s="150" t="str">
        <f ca="1">IF($B23=1,SUM(AG27:AM27),"")</f>
        <v/>
      </c>
      <c r="L24" s="150">
        <v>0</v>
      </c>
      <c r="M24" s="151">
        <v>0</v>
      </c>
      <c r="N24" s="151">
        <v>0</v>
      </c>
      <c r="O24" s="151">
        <v>0</v>
      </c>
      <c r="P24" s="152">
        <v>0</v>
      </c>
      <c r="Q24" s="152">
        <v>0</v>
      </c>
      <c r="R24" s="152">
        <v>0</v>
      </c>
      <c r="S24" s="150">
        <v>0</v>
      </c>
      <c r="T24" s="151">
        <v>0</v>
      </c>
      <c r="U24" s="151">
        <v>0</v>
      </c>
      <c r="V24" s="151">
        <v>0</v>
      </c>
      <c r="W24" s="152">
        <v>0</v>
      </c>
      <c r="X24" s="152">
        <v>0</v>
      </c>
      <c r="Y24" s="152">
        <v>0</v>
      </c>
      <c r="Z24" s="150">
        <v>0</v>
      </c>
      <c r="AA24" s="151">
        <v>0</v>
      </c>
      <c r="AB24" s="151">
        <v>0</v>
      </c>
      <c r="AC24" s="151">
        <v>0</v>
      </c>
      <c r="AD24" s="152">
        <v>0</v>
      </c>
      <c r="AE24" s="152">
        <v>0</v>
      </c>
      <c r="AF24" s="152">
        <v>0</v>
      </c>
      <c r="AG24" s="150">
        <v>0</v>
      </c>
      <c r="AH24" s="151">
        <v>0</v>
      </c>
      <c r="AI24" s="151">
        <v>0</v>
      </c>
      <c r="AJ24" s="151">
        <v>0</v>
      </c>
      <c r="AK24" s="152">
        <v>0</v>
      </c>
      <c r="AL24" s="152">
        <v>0</v>
      </c>
      <c r="AM24" s="152">
        <v>0</v>
      </c>
    </row>
    <row r="25" spans="1:39" ht="13.2">
      <c r="A25" s="260"/>
      <c r="B25" s="269"/>
      <c r="C25" s="155"/>
      <c r="D25" s="155"/>
      <c r="F25" s="156"/>
      <c r="G25" s="269"/>
      <c r="H25" s="269"/>
      <c r="I25" s="269"/>
      <c r="J25" s="6"/>
      <c r="K25" s="157"/>
      <c r="L25" s="150">
        <v>0</v>
      </c>
      <c r="M25" s="151">
        <v>0</v>
      </c>
      <c r="N25" s="151">
        <v>0</v>
      </c>
      <c r="O25" s="151">
        <v>0</v>
      </c>
      <c r="P25" s="152">
        <v>0</v>
      </c>
      <c r="Q25" s="152">
        <v>0</v>
      </c>
      <c r="R25" s="152">
        <v>0</v>
      </c>
      <c r="S25" s="150">
        <v>0</v>
      </c>
      <c r="T25" s="151">
        <v>0</v>
      </c>
      <c r="U25" s="151">
        <v>0</v>
      </c>
      <c r="V25" s="151">
        <v>0</v>
      </c>
      <c r="W25" s="152">
        <v>0</v>
      </c>
      <c r="X25" s="152">
        <v>0</v>
      </c>
      <c r="Y25" s="152">
        <v>0</v>
      </c>
      <c r="Z25" s="150">
        <v>0</v>
      </c>
      <c r="AA25" s="151">
        <v>0</v>
      </c>
      <c r="AB25" s="151">
        <v>0</v>
      </c>
      <c r="AC25" s="151">
        <v>0</v>
      </c>
      <c r="AD25" s="152">
        <v>0</v>
      </c>
      <c r="AE25" s="152">
        <v>0</v>
      </c>
      <c r="AF25" s="152">
        <v>0</v>
      </c>
      <c r="AG25" s="150">
        <v>0</v>
      </c>
      <c r="AH25" s="151">
        <v>0</v>
      </c>
      <c r="AI25" s="151">
        <v>0</v>
      </c>
      <c r="AJ25" s="151">
        <v>0</v>
      </c>
      <c r="AK25" s="152">
        <v>0</v>
      </c>
      <c r="AL25" s="152">
        <v>0</v>
      </c>
      <c r="AM25" s="152">
        <v>0</v>
      </c>
    </row>
    <row r="26" spans="1:39" ht="13.2">
      <c r="A26" s="260"/>
      <c r="B26" s="158">
        <f ca="1">Kalk!J11</f>
        <v>3.7599999999999998E-4</v>
      </c>
      <c r="C26" s="123"/>
      <c r="D26" s="123"/>
      <c r="E26" s="159"/>
      <c r="F26" s="6"/>
      <c r="G26" s="88">
        <f>IF(Kalk!B3="Die cut",1,0)</f>
        <v>0</v>
      </c>
      <c r="H26" s="88">
        <f ca="1">IF((G22-E22-14)/2&lt;=240,1,0)</f>
        <v>1</v>
      </c>
      <c r="I26" s="154">
        <f>Kalk!W11</f>
        <v>0</v>
      </c>
      <c r="J26" s="160"/>
      <c r="K26" s="161"/>
      <c r="L26" s="162">
        <v>0</v>
      </c>
      <c r="M26" s="163">
        <v>0</v>
      </c>
      <c r="N26" s="163">
        <v>0</v>
      </c>
      <c r="O26" s="163">
        <v>0</v>
      </c>
      <c r="P26" s="164">
        <v>0</v>
      </c>
      <c r="Q26" s="164">
        <v>0</v>
      </c>
      <c r="R26" s="164">
        <v>0</v>
      </c>
      <c r="S26" s="162">
        <v>0</v>
      </c>
      <c r="T26" s="163">
        <v>0</v>
      </c>
      <c r="U26" s="163">
        <v>0</v>
      </c>
      <c r="V26" s="163">
        <v>0</v>
      </c>
      <c r="W26" s="164">
        <v>0</v>
      </c>
      <c r="X26" s="164">
        <v>0</v>
      </c>
      <c r="Y26" s="164">
        <v>0</v>
      </c>
      <c r="Z26" s="162">
        <v>0</v>
      </c>
      <c r="AA26" s="163">
        <v>0</v>
      </c>
      <c r="AB26" s="163">
        <v>0</v>
      </c>
      <c r="AC26" s="163">
        <v>0</v>
      </c>
      <c r="AD26" s="164">
        <v>0</v>
      </c>
      <c r="AE26" s="164">
        <v>0</v>
      </c>
      <c r="AF26" s="164">
        <v>0</v>
      </c>
      <c r="AG26" s="162">
        <v>0</v>
      </c>
      <c r="AH26" s="163">
        <v>0</v>
      </c>
      <c r="AI26" s="163">
        <v>0</v>
      </c>
      <c r="AJ26" s="163">
        <v>0</v>
      </c>
      <c r="AK26" s="164">
        <v>0</v>
      </c>
      <c r="AL26" s="164">
        <v>0</v>
      </c>
      <c r="AM26" s="164">
        <v>0</v>
      </c>
    </row>
    <row r="27" spans="1:39" ht="13.2">
      <c r="A27" s="260"/>
      <c r="B27" s="158"/>
      <c r="C27" s="123"/>
      <c r="D27" s="123"/>
      <c r="E27" s="159"/>
      <c r="F27" s="6"/>
      <c r="G27" s="6"/>
      <c r="H27" s="6"/>
      <c r="I27" s="154"/>
      <c r="J27" s="160"/>
      <c r="K27" s="161"/>
      <c r="L27" s="165">
        <f t="shared" ref="L27:AB27" si="4">SUM(L21:L26)</f>
        <v>0</v>
      </c>
      <c r="M27" s="88">
        <f t="shared" si="4"/>
        <v>0</v>
      </c>
      <c r="N27" s="88">
        <f t="shared" si="4"/>
        <v>0</v>
      </c>
      <c r="O27" s="88">
        <f t="shared" si="4"/>
        <v>0</v>
      </c>
      <c r="P27" s="88">
        <f t="shared" si="4"/>
        <v>0</v>
      </c>
      <c r="Q27" s="88">
        <f t="shared" si="4"/>
        <v>0</v>
      </c>
      <c r="R27" s="88">
        <f t="shared" si="4"/>
        <v>0</v>
      </c>
      <c r="S27" s="88">
        <f t="shared" si="4"/>
        <v>0</v>
      </c>
      <c r="T27" s="88">
        <f t="shared" si="4"/>
        <v>0</v>
      </c>
      <c r="U27" s="88">
        <f t="shared" si="4"/>
        <v>0</v>
      </c>
      <c r="V27" s="88">
        <f t="shared" si="4"/>
        <v>0</v>
      </c>
      <c r="W27" s="88">
        <f t="shared" si="4"/>
        <v>0</v>
      </c>
      <c r="X27" s="88">
        <f t="shared" si="4"/>
        <v>0</v>
      </c>
      <c r="Y27" s="88">
        <f t="shared" si="4"/>
        <v>0</v>
      </c>
      <c r="Z27" s="88">
        <f t="shared" si="4"/>
        <v>0</v>
      </c>
      <c r="AA27" s="88">
        <f t="shared" si="4"/>
        <v>0</v>
      </c>
      <c r="AB27" s="88">
        <f t="shared" si="4"/>
        <v>0</v>
      </c>
      <c r="AC27" s="88">
        <f>SUM(AB21:AB26)</f>
        <v>0</v>
      </c>
      <c r="AD27" s="88">
        <f t="shared" ref="AD27:AM27" si="5">SUM(AD21:AD26)</f>
        <v>0</v>
      </c>
      <c r="AE27" s="88">
        <f t="shared" si="5"/>
        <v>0</v>
      </c>
      <c r="AF27" s="88">
        <f t="shared" si="5"/>
        <v>0</v>
      </c>
      <c r="AG27" s="88">
        <f t="shared" si="5"/>
        <v>0</v>
      </c>
      <c r="AH27" s="88">
        <f t="shared" si="5"/>
        <v>0</v>
      </c>
      <c r="AI27" s="88">
        <f t="shared" si="5"/>
        <v>0</v>
      </c>
      <c r="AJ27" s="88">
        <f t="shared" si="5"/>
        <v>0</v>
      </c>
      <c r="AK27" s="88">
        <f t="shared" si="5"/>
        <v>0</v>
      </c>
      <c r="AL27" s="88">
        <f t="shared" si="5"/>
        <v>0</v>
      </c>
      <c r="AM27" s="88">
        <f t="shared" si="5"/>
        <v>0</v>
      </c>
    </row>
    <row r="28" spans="1:39" ht="13.2">
      <c r="A28" s="260"/>
      <c r="B28" s="123"/>
      <c r="C28" s="123"/>
      <c r="D28" s="123"/>
      <c r="E28" s="159"/>
      <c r="F28" s="6"/>
      <c r="G28" s="6"/>
      <c r="H28" s="6"/>
      <c r="I28" s="6"/>
      <c r="J28" s="166"/>
    </row>
    <row r="29" spans="1:39" ht="13.2">
      <c r="B29" s="167"/>
      <c r="C29" s="167"/>
      <c r="D29" s="167"/>
      <c r="E29" s="167"/>
      <c r="F29" s="167"/>
      <c r="G29" s="167"/>
      <c r="H29" s="167"/>
      <c r="I29" s="167"/>
      <c r="J29" s="88" t="s">
        <v>83</v>
      </c>
      <c r="K29" s="110" t="s">
        <v>956</v>
      </c>
      <c r="L29" s="110" t="s">
        <v>957</v>
      </c>
      <c r="M29" s="116" t="s">
        <v>958</v>
      </c>
      <c r="N29" s="116" t="s">
        <v>959</v>
      </c>
      <c r="O29" s="116" t="s">
        <v>960</v>
      </c>
      <c r="P29" s="146" t="s">
        <v>958</v>
      </c>
      <c r="Q29" s="146" t="s">
        <v>959</v>
      </c>
      <c r="R29" s="146" t="s">
        <v>960</v>
      </c>
      <c r="S29" s="110" t="s">
        <v>957</v>
      </c>
      <c r="T29" s="116" t="s">
        <v>958</v>
      </c>
      <c r="U29" s="116" t="s">
        <v>959</v>
      </c>
      <c r="V29" s="116" t="s">
        <v>960</v>
      </c>
      <c r="W29" s="146" t="s">
        <v>958</v>
      </c>
      <c r="X29" s="146" t="s">
        <v>959</v>
      </c>
      <c r="Y29" s="146" t="s">
        <v>960</v>
      </c>
      <c r="Z29" s="110" t="s">
        <v>957</v>
      </c>
      <c r="AA29" s="116" t="s">
        <v>958</v>
      </c>
      <c r="AB29" s="116" t="s">
        <v>959</v>
      </c>
      <c r="AC29" s="116" t="s">
        <v>960</v>
      </c>
      <c r="AD29" s="146" t="s">
        <v>958</v>
      </c>
      <c r="AE29" s="146" t="s">
        <v>959</v>
      </c>
      <c r="AF29" s="146" t="s">
        <v>960</v>
      </c>
      <c r="AG29" s="110" t="s">
        <v>957</v>
      </c>
      <c r="AH29" s="116" t="s">
        <v>958</v>
      </c>
      <c r="AI29" s="116" t="s">
        <v>959</v>
      </c>
      <c r="AJ29" s="116" t="s">
        <v>960</v>
      </c>
      <c r="AK29" s="146" t="s">
        <v>958</v>
      </c>
      <c r="AL29" s="146" t="s">
        <v>959</v>
      </c>
      <c r="AM29" s="146" t="s">
        <v>960</v>
      </c>
    </row>
    <row r="30" spans="1:39" ht="13.35" customHeight="1">
      <c r="A30" s="260">
        <v>4</v>
      </c>
      <c r="B30" s="267" t="s">
        <v>962</v>
      </c>
      <c r="C30" s="147" t="s">
        <v>56</v>
      </c>
      <c r="D30" s="147" t="s">
        <v>57</v>
      </c>
      <c r="E30" s="147" t="s">
        <v>66</v>
      </c>
      <c r="F30" s="268" t="s">
        <v>963</v>
      </c>
      <c r="G30" s="268"/>
      <c r="H30" s="148" t="s">
        <v>964</v>
      </c>
      <c r="I30" s="269" t="s">
        <v>965</v>
      </c>
      <c r="J30" s="88">
        <f>Kalk!AH15</f>
        <v>0</v>
      </c>
      <c r="K30" s="150" t="str">
        <f ca="1">IF($B32=1,SUM(L36:R36),"")</f>
        <v/>
      </c>
      <c r="L30" s="150">
        <v>0</v>
      </c>
      <c r="M30" s="151">
        <v>0</v>
      </c>
      <c r="N30" s="151">
        <v>0</v>
      </c>
      <c r="O30" s="151">
        <v>0</v>
      </c>
      <c r="P30" s="152">
        <v>0</v>
      </c>
      <c r="Q30" s="152">
        <v>0</v>
      </c>
      <c r="R30" s="152">
        <v>0</v>
      </c>
      <c r="S30" s="150">
        <v>0</v>
      </c>
      <c r="T30" s="151">
        <v>0</v>
      </c>
      <c r="U30" s="151">
        <v>0</v>
      </c>
      <c r="V30" s="151">
        <v>0</v>
      </c>
      <c r="W30" s="152">
        <v>0</v>
      </c>
      <c r="X30" s="152">
        <v>0</v>
      </c>
      <c r="Y30" s="152">
        <v>0</v>
      </c>
      <c r="Z30" s="150">
        <v>0</v>
      </c>
      <c r="AA30" s="151">
        <v>0</v>
      </c>
      <c r="AB30" s="151">
        <v>0</v>
      </c>
      <c r="AC30" s="151">
        <v>0</v>
      </c>
      <c r="AD30" s="152">
        <v>0</v>
      </c>
      <c r="AE30" s="152">
        <v>0</v>
      </c>
      <c r="AF30" s="152">
        <v>0</v>
      </c>
      <c r="AG30" s="150">
        <v>0</v>
      </c>
      <c r="AH30" s="151">
        <v>0</v>
      </c>
      <c r="AI30" s="151">
        <v>0</v>
      </c>
      <c r="AJ30" s="151">
        <v>0</v>
      </c>
      <c r="AK30" s="152">
        <v>0</v>
      </c>
      <c r="AL30" s="152">
        <v>0</v>
      </c>
      <c r="AM30" s="152">
        <v>0</v>
      </c>
    </row>
    <row r="31" spans="1:39" ht="13.2">
      <c r="A31" s="260"/>
      <c r="B31" s="267"/>
      <c r="C31" s="147">
        <f>Kalk!C16</f>
        <v>0</v>
      </c>
      <c r="D31" s="147">
        <f>Kalk!E16</f>
        <v>0</v>
      </c>
      <c r="E31" s="147">
        <f>Kalk!G16</f>
        <v>0</v>
      </c>
      <c r="F31" s="147">
        <f ca="1">Kalk!I16</f>
        <v>47</v>
      </c>
      <c r="G31" s="147">
        <f ca="1">Kalk!I18</f>
        <v>8</v>
      </c>
      <c r="H31" s="147" t="str">
        <f>Kalk!B16</f>
        <v>F0201</v>
      </c>
      <c r="I31" s="269"/>
      <c r="J31" s="88">
        <f>Kalk!AH16</f>
        <v>0</v>
      </c>
      <c r="K31" s="150" t="str">
        <f ca="1">IF($B32=1,SUM(S36:Y36),"")</f>
        <v/>
      </c>
      <c r="L31" s="150">
        <v>0</v>
      </c>
      <c r="M31" s="151">
        <v>0</v>
      </c>
      <c r="N31" s="151">
        <v>0</v>
      </c>
      <c r="O31" s="151">
        <v>0</v>
      </c>
      <c r="P31" s="152">
        <v>0</v>
      </c>
      <c r="Q31" s="152">
        <v>0</v>
      </c>
      <c r="R31" s="152">
        <v>0</v>
      </c>
      <c r="S31" s="150">
        <v>0</v>
      </c>
      <c r="T31" s="151">
        <v>0</v>
      </c>
      <c r="U31" s="151">
        <v>0</v>
      </c>
      <c r="V31" s="151">
        <v>0</v>
      </c>
      <c r="W31" s="152">
        <v>0</v>
      </c>
      <c r="X31" s="152">
        <v>0</v>
      </c>
      <c r="Y31" s="152">
        <v>0</v>
      </c>
      <c r="Z31" s="150">
        <v>0</v>
      </c>
      <c r="AA31" s="151">
        <v>0</v>
      </c>
      <c r="AB31" s="151">
        <v>0</v>
      </c>
      <c r="AC31" s="151">
        <v>0</v>
      </c>
      <c r="AD31" s="152">
        <v>0</v>
      </c>
      <c r="AE31" s="152">
        <v>0</v>
      </c>
      <c r="AF31" s="152">
        <v>0</v>
      </c>
      <c r="AG31" s="150">
        <v>0</v>
      </c>
      <c r="AH31" s="151">
        <v>0</v>
      </c>
      <c r="AI31" s="151">
        <v>0</v>
      </c>
      <c r="AJ31" s="151">
        <v>0</v>
      </c>
      <c r="AK31" s="152">
        <v>0</v>
      </c>
      <c r="AL31" s="152">
        <v>0</v>
      </c>
      <c r="AM31" s="152">
        <v>0</v>
      </c>
    </row>
    <row r="32" spans="1:39" ht="13.2">
      <c r="A32" s="260"/>
      <c r="B32" s="153">
        <f ca="1">IF(SUM(C59:H59)+H62=7,1,0)</f>
        <v>0</v>
      </c>
      <c r="C32" s="88">
        <f>IF((C58&gt;132)*AND(C58&lt;941),1,0)</f>
        <v>0</v>
      </c>
      <c r="D32" s="88">
        <f>IF((D58&gt;=132)*AND(D58&lt;481),1,0)</f>
        <v>0</v>
      </c>
      <c r="E32" s="88">
        <f>IF((E58&gt;89)*AND(E58&lt;481),1,0)</f>
        <v>0</v>
      </c>
      <c r="F32" s="88">
        <f ca="1">IF((F58&gt;547)*AND(F58&lt;=2180),1,0)</f>
        <v>0</v>
      </c>
      <c r="G32" s="88">
        <f ca="1">IF((G58&gt;263)*AND(G58&lt;891),1,0)</f>
        <v>0</v>
      </c>
      <c r="H32" s="88">
        <f>IF(OR(H58="F0200",H58="F0201",H58="F0202",H58="F0203",H58="F0201-F0203",H58="F0200-F0203",H58="F0501"),1,0)</f>
        <v>1</v>
      </c>
      <c r="I32" s="154">
        <f>Kalk!M30</f>
        <v>0</v>
      </c>
      <c r="J32" s="88">
        <f>Kalk!AH17</f>
        <v>0</v>
      </c>
      <c r="K32" s="150" t="str">
        <f ca="1">IF($B32=1,SUM(Z36:AF36),"")</f>
        <v/>
      </c>
      <c r="L32" s="150">
        <v>0</v>
      </c>
      <c r="M32" s="151">
        <v>0</v>
      </c>
      <c r="N32" s="151">
        <v>0</v>
      </c>
      <c r="O32" s="151">
        <v>0</v>
      </c>
      <c r="P32" s="152">
        <v>0</v>
      </c>
      <c r="Q32" s="152">
        <v>0</v>
      </c>
      <c r="R32" s="152">
        <v>0</v>
      </c>
      <c r="S32" s="150">
        <v>0</v>
      </c>
      <c r="T32" s="151">
        <v>0</v>
      </c>
      <c r="U32" s="151">
        <v>0</v>
      </c>
      <c r="V32" s="151">
        <v>0</v>
      </c>
      <c r="W32" s="152">
        <v>0</v>
      </c>
      <c r="X32" s="152">
        <v>0</v>
      </c>
      <c r="Y32" s="152">
        <v>0</v>
      </c>
      <c r="Z32" s="150">
        <v>0</v>
      </c>
      <c r="AA32" s="151">
        <v>0</v>
      </c>
      <c r="AB32" s="151">
        <v>0</v>
      </c>
      <c r="AC32" s="151">
        <v>0</v>
      </c>
      <c r="AD32" s="152">
        <v>0</v>
      </c>
      <c r="AE32" s="152">
        <v>0</v>
      </c>
      <c r="AF32" s="152">
        <v>0</v>
      </c>
      <c r="AG32" s="150">
        <v>0</v>
      </c>
      <c r="AH32" s="151">
        <v>0</v>
      </c>
      <c r="AI32" s="151">
        <v>0</v>
      </c>
      <c r="AJ32" s="151">
        <v>0</v>
      </c>
      <c r="AK32" s="152">
        <v>0</v>
      </c>
      <c r="AL32" s="152">
        <v>0</v>
      </c>
      <c r="AM32" s="152">
        <v>0</v>
      </c>
    </row>
    <row r="33" spans="1:39" ht="12.9" customHeight="1">
      <c r="A33" s="260"/>
      <c r="B33" s="269" t="s">
        <v>968</v>
      </c>
      <c r="E33" t="s">
        <v>35</v>
      </c>
      <c r="G33" s="269" t="s">
        <v>969</v>
      </c>
      <c r="H33" s="269" t="s">
        <v>970</v>
      </c>
      <c r="I33" s="269" t="s">
        <v>971</v>
      </c>
      <c r="J33" s="88">
        <f>Kalk!AH18</f>
        <v>0</v>
      </c>
      <c r="K33" s="150" t="str">
        <f ca="1">IF($B32=1,SUM(AG36:AM36),"")</f>
        <v/>
      </c>
      <c r="L33" s="150">
        <v>0</v>
      </c>
      <c r="M33" s="151">
        <v>0</v>
      </c>
      <c r="N33" s="151">
        <v>0</v>
      </c>
      <c r="O33" s="151">
        <v>0</v>
      </c>
      <c r="P33" s="152">
        <v>0</v>
      </c>
      <c r="Q33" s="152">
        <v>0</v>
      </c>
      <c r="R33" s="152">
        <v>0</v>
      </c>
      <c r="S33" s="150">
        <v>0</v>
      </c>
      <c r="T33" s="151">
        <v>0</v>
      </c>
      <c r="U33" s="151">
        <v>0</v>
      </c>
      <c r="V33" s="151">
        <v>0</v>
      </c>
      <c r="W33" s="152">
        <v>0</v>
      </c>
      <c r="X33" s="152">
        <v>0</v>
      </c>
      <c r="Y33" s="152">
        <v>0</v>
      </c>
      <c r="Z33" s="150">
        <v>0</v>
      </c>
      <c r="AA33" s="151">
        <v>0</v>
      </c>
      <c r="AB33" s="151">
        <v>0</v>
      </c>
      <c r="AC33" s="151">
        <v>0</v>
      </c>
      <c r="AD33" s="152">
        <v>0</v>
      </c>
      <c r="AE33" s="152">
        <v>0</v>
      </c>
      <c r="AF33" s="152">
        <v>0</v>
      </c>
      <c r="AG33" s="150">
        <v>0</v>
      </c>
      <c r="AH33" s="151">
        <v>0</v>
      </c>
      <c r="AI33" s="151">
        <v>0</v>
      </c>
      <c r="AJ33" s="151">
        <v>0</v>
      </c>
      <c r="AK33" s="152">
        <v>0</v>
      </c>
      <c r="AL33" s="152">
        <v>0</v>
      </c>
      <c r="AM33" s="152">
        <v>0</v>
      </c>
    </row>
    <row r="34" spans="1:39" ht="13.2">
      <c r="A34" s="260"/>
      <c r="B34" s="269"/>
      <c r="C34" s="155"/>
      <c r="D34" s="155"/>
      <c r="F34" s="156"/>
      <c r="G34" s="269"/>
      <c r="H34" s="269"/>
      <c r="I34" s="269"/>
      <c r="J34" s="6"/>
      <c r="K34" s="157"/>
      <c r="L34" s="150">
        <v>0</v>
      </c>
      <c r="M34" s="151">
        <v>0</v>
      </c>
      <c r="N34" s="151">
        <v>0</v>
      </c>
      <c r="O34" s="151">
        <v>0</v>
      </c>
      <c r="P34" s="152">
        <v>0</v>
      </c>
      <c r="Q34" s="152">
        <v>0</v>
      </c>
      <c r="R34" s="152">
        <v>0</v>
      </c>
      <c r="S34" s="150">
        <v>0</v>
      </c>
      <c r="T34" s="151">
        <v>0</v>
      </c>
      <c r="U34" s="151">
        <v>0</v>
      </c>
      <c r="V34" s="151">
        <v>0</v>
      </c>
      <c r="W34" s="152">
        <v>0</v>
      </c>
      <c r="X34" s="152">
        <v>0</v>
      </c>
      <c r="Y34" s="152">
        <v>0</v>
      </c>
      <c r="Z34" s="150">
        <v>0</v>
      </c>
      <c r="AA34" s="151">
        <v>0</v>
      </c>
      <c r="AB34" s="151">
        <v>0</v>
      </c>
      <c r="AC34" s="151">
        <v>0</v>
      </c>
      <c r="AD34" s="152">
        <v>0</v>
      </c>
      <c r="AE34" s="152">
        <v>0</v>
      </c>
      <c r="AF34" s="152">
        <v>0</v>
      </c>
      <c r="AG34" s="150">
        <v>0</v>
      </c>
      <c r="AH34" s="151">
        <v>0</v>
      </c>
      <c r="AI34" s="151">
        <v>0</v>
      </c>
      <c r="AJ34" s="151">
        <v>0</v>
      </c>
      <c r="AK34" s="152">
        <v>0</v>
      </c>
      <c r="AL34" s="152">
        <v>0</v>
      </c>
      <c r="AM34" s="152">
        <v>0</v>
      </c>
    </row>
    <row r="35" spans="1:39" ht="13.2">
      <c r="A35" s="260"/>
      <c r="B35" s="158">
        <f ca="1">Kalk!J15</f>
        <v>3.7599999999999998E-4</v>
      </c>
      <c r="C35" s="123"/>
      <c r="D35" s="123"/>
      <c r="E35" s="159"/>
      <c r="F35" s="6"/>
      <c r="G35" s="88">
        <f>IF(Kalk!B3="Die cut",1,0)</f>
        <v>0</v>
      </c>
      <c r="H35" s="88">
        <f ca="1">IF((G31-E31-14)/2&lt;=240,1,0)</f>
        <v>1</v>
      </c>
      <c r="I35" s="154">
        <f>Kalk!W15</f>
        <v>0</v>
      </c>
      <c r="J35" s="160"/>
      <c r="K35" s="161"/>
      <c r="L35" s="162">
        <v>0</v>
      </c>
      <c r="M35" s="163">
        <v>0</v>
      </c>
      <c r="N35" s="163">
        <v>0</v>
      </c>
      <c r="O35" s="163">
        <v>0</v>
      </c>
      <c r="P35" s="164">
        <v>0</v>
      </c>
      <c r="Q35" s="164">
        <v>0</v>
      </c>
      <c r="R35" s="164">
        <v>0</v>
      </c>
      <c r="S35" s="162">
        <v>0</v>
      </c>
      <c r="T35" s="163">
        <v>0</v>
      </c>
      <c r="U35" s="163">
        <v>0</v>
      </c>
      <c r="V35" s="163">
        <v>0</v>
      </c>
      <c r="W35" s="164">
        <v>0</v>
      </c>
      <c r="X35" s="164">
        <v>0</v>
      </c>
      <c r="Y35" s="164">
        <v>0</v>
      </c>
      <c r="Z35" s="162">
        <v>0</v>
      </c>
      <c r="AA35" s="163">
        <v>0</v>
      </c>
      <c r="AB35" s="163">
        <v>0</v>
      </c>
      <c r="AC35" s="163">
        <v>0</v>
      </c>
      <c r="AD35" s="164">
        <v>0</v>
      </c>
      <c r="AE35" s="164">
        <v>0</v>
      </c>
      <c r="AF35" s="164">
        <v>0</v>
      </c>
      <c r="AG35" s="162">
        <v>0</v>
      </c>
      <c r="AH35" s="163">
        <v>0</v>
      </c>
      <c r="AI35" s="163">
        <v>0</v>
      </c>
      <c r="AJ35" s="163">
        <v>0</v>
      </c>
      <c r="AK35" s="164">
        <v>0</v>
      </c>
      <c r="AL35" s="164">
        <v>0</v>
      </c>
      <c r="AM35" s="164">
        <v>0</v>
      </c>
    </row>
    <row r="36" spans="1:39" ht="13.2">
      <c r="A36" s="260"/>
      <c r="B36" s="158"/>
      <c r="C36" s="123"/>
      <c r="D36" s="123"/>
      <c r="E36" s="159"/>
      <c r="F36" s="6"/>
      <c r="G36" s="6"/>
      <c r="H36" s="6"/>
      <c r="I36" s="154"/>
      <c r="J36" s="160"/>
      <c r="K36" s="161"/>
      <c r="L36" s="165">
        <f t="shared" ref="L36:AB36" si="6">SUM(L30:L35)</f>
        <v>0</v>
      </c>
      <c r="M36" s="88">
        <f t="shared" si="6"/>
        <v>0</v>
      </c>
      <c r="N36" s="88">
        <f t="shared" si="6"/>
        <v>0</v>
      </c>
      <c r="O36" s="88">
        <f t="shared" si="6"/>
        <v>0</v>
      </c>
      <c r="P36" s="88">
        <f t="shared" si="6"/>
        <v>0</v>
      </c>
      <c r="Q36" s="88">
        <f t="shared" si="6"/>
        <v>0</v>
      </c>
      <c r="R36" s="88">
        <f t="shared" si="6"/>
        <v>0</v>
      </c>
      <c r="S36" s="88">
        <f t="shared" si="6"/>
        <v>0</v>
      </c>
      <c r="T36" s="88">
        <f t="shared" si="6"/>
        <v>0</v>
      </c>
      <c r="U36" s="88">
        <f t="shared" si="6"/>
        <v>0</v>
      </c>
      <c r="V36" s="88">
        <f t="shared" si="6"/>
        <v>0</v>
      </c>
      <c r="W36" s="88">
        <f t="shared" si="6"/>
        <v>0</v>
      </c>
      <c r="X36" s="88">
        <f t="shared" si="6"/>
        <v>0</v>
      </c>
      <c r="Y36" s="88">
        <f t="shared" si="6"/>
        <v>0</v>
      </c>
      <c r="Z36" s="88">
        <f t="shared" si="6"/>
        <v>0</v>
      </c>
      <c r="AA36" s="88">
        <f t="shared" si="6"/>
        <v>0</v>
      </c>
      <c r="AB36" s="88">
        <f t="shared" si="6"/>
        <v>0</v>
      </c>
      <c r="AC36" s="88">
        <f>SUM(AB30:AB35)</f>
        <v>0</v>
      </c>
      <c r="AD36" s="88">
        <f t="shared" ref="AD36:AM36" si="7">SUM(AD30:AD35)</f>
        <v>0</v>
      </c>
      <c r="AE36" s="88">
        <f t="shared" si="7"/>
        <v>0</v>
      </c>
      <c r="AF36" s="88">
        <f t="shared" si="7"/>
        <v>0</v>
      </c>
      <c r="AG36" s="88">
        <f t="shared" si="7"/>
        <v>0</v>
      </c>
      <c r="AH36" s="88">
        <f t="shared" si="7"/>
        <v>0</v>
      </c>
      <c r="AI36" s="88">
        <f t="shared" si="7"/>
        <v>0</v>
      </c>
      <c r="AJ36" s="88">
        <f t="shared" si="7"/>
        <v>0</v>
      </c>
      <c r="AK36" s="88">
        <f t="shared" si="7"/>
        <v>0</v>
      </c>
      <c r="AL36" s="88">
        <f t="shared" si="7"/>
        <v>0</v>
      </c>
      <c r="AM36" s="88">
        <f t="shared" si="7"/>
        <v>0</v>
      </c>
    </row>
    <row r="37" spans="1:39" ht="13.2">
      <c r="A37" s="260"/>
      <c r="B37" s="123"/>
      <c r="C37" s="123"/>
      <c r="D37" s="123"/>
      <c r="E37" s="159"/>
      <c r="F37" s="6"/>
      <c r="G37" s="6"/>
      <c r="H37" s="6"/>
      <c r="I37" s="6"/>
      <c r="J37" s="166"/>
    </row>
    <row r="38" spans="1:39" ht="13.2">
      <c r="B38" s="167"/>
      <c r="C38" s="167"/>
      <c r="D38" s="167"/>
      <c r="E38" s="167"/>
      <c r="F38" s="167"/>
      <c r="G38" s="167"/>
      <c r="H38" s="167"/>
      <c r="I38" s="167"/>
      <c r="J38" s="88" t="s">
        <v>83</v>
      </c>
      <c r="K38" s="110" t="s">
        <v>956</v>
      </c>
      <c r="L38" s="110" t="s">
        <v>957</v>
      </c>
      <c r="M38" s="116" t="s">
        <v>958</v>
      </c>
      <c r="N38" s="116" t="s">
        <v>959</v>
      </c>
      <c r="O38" s="116" t="s">
        <v>960</v>
      </c>
      <c r="P38" s="146" t="s">
        <v>958</v>
      </c>
      <c r="Q38" s="146" t="s">
        <v>959</v>
      </c>
      <c r="R38" s="146" t="s">
        <v>960</v>
      </c>
      <c r="S38" s="110" t="s">
        <v>957</v>
      </c>
      <c r="T38" s="116" t="s">
        <v>958</v>
      </c>
      <c r="U38" s="116" t="s">
        <v>959</v>
      </c>
      <c r="V38" s="116" t="s">
        <v>960</v>
      </c>
      <c r="W38" s="146" t="s">
        <v>958</v>
      </c>
      <c r="X38" s="146" t="s">
        <v>959</v>
      </c>
      <c r="Y38" s="146" t="s">
        <v>960</v>
      </c>
      <c r="Z38" s="110" t="s">
        <v>957</v>
      </c>
      <c r="AA38" s="116" t="s">
        <v>958</v>
      </c>
      <c r="AB38" s="116" t="s">
        <v>959</v>
      </c>
      <c r="AC38" s="116" t="s">
        <v>960</v>
      </c>
      <c r="AD38" s="146" t="s">
        <v>958</v>
      </c>
      <c r="AE38" s="146" t="s">
        <v>959</v>
      </c>
      <c r="AF38" s="146" t="s">
        <v>960</v>
      </c>
      <c r="AG38" s="110" t="s">
        <v>957</v>
      </c>
      <c r="AH38" s="116" t="s">
        <v>958</v>
      </c>
      <c r="AI38" s="116" t="s">
        <v>959</v>
      </c>
      <c r="AJ38" s="116" t="s">
        <v>960</v>
      </c>
      <c r="AK38" s="146" t="s">
        <v>958</v>
      </c>
      <c r="AL38" s="146" t="s">
        <v>959</v>
      </c>
      <c r="AM38" s="146" t="s">
        <v>960</v>
      </c>
    </row>
    <row r="39" spans="1:39" ht="13.35" customHeight="1">
      <c r="A39" s="260">
        <v>5</v>
      </c>
      <c r="B39" s="267" t="s">
        <v>962</v>
      </c>
      <c r="C39" s="147" t="s">
        <v>56</v>
      </c>
      <c r="D39" s="147" t="s">
        <v>57</v>
      </c>
      <c r="E39" s="147" t="s">
        <v>66</v>
      </c>
      <c r="F39" s="268" t="s">
        <v>963</v>
      </c>
      <c r="G39" s="268"/>
      <c r="H39" s="148" t="s">
        <v>964</v>
      </c>
      <c r="I39" s="269" t="s">
        <v>965</v>
      </c>
      <c r="J39" s="88">
        <f>Kalk!AH19</f>
        <v>0</v>
      </c>
      <c r="K39" s="150" t="str">
        <f ca="1">IF($B41=1,SUM(L45:R45),"")</f>
        <v/>
      </c>
      <c r="L39" s="150">
        <v>0</v>
      </c>
      <c r="M39" s="151">
        <v>0</v>
      </c>
      <c r="N39" s="151">
        <v>0</v>
      </c>
      <c r="O39" s="151">
        <v>0</v>
      </c>
      <c r="P39" s="152">
        <v>0</v>
      </c>
      <c r="Q39" s="152">
        <v>0</v>
      </c>
      <c r="R39" s="152">
        <v>0</v>
      </c>
      <c r="S39" s="150">
        <v>0</v>
      </c>
      <c r="T39" s="151">
        <v>0</v>
      </c>
      <c r="U39" s="151">
        <v>0</v>
      </c>
      <c r="V39" s="151">
        <v>0</v>
      </c>
      <c r="W39" s="152">
        <v>0</v>
      </c>
      <c r="X39" s="152">
        <v>0</v>
      </c>
      <c r="Y39" s="152">
        <v>0</v>
      </c>
      <c r="Z39" s="150">
        <v>0</v>
      </c>
      <c r="AA39" s="151">
        <v>0</v>
      </c>
      <c r="AB39" s="151">
        <v>0</v>
      </c>
      <c r="AC39" s="151">
        <v>0</v>
      </c>
      <c r="AD39" s="152">
        <v>0</v>
      </c>
      <c r="AE39" s="152">
        <v>0</v>
      </c>
      <c r="AF39" s="152">
        <v>0</v>
      </c>
      <c r="AG39" s="150">
        <v>0</v>
      </c>
      <c r="AH39" s="151">
        <v>0</v>
      </c>
      <c r="AI39" s="151">
        <v>0</v>
      </c>
      <c r="AJ39" s="151">
        <v>0</v>
      </c>
      <c r="AK39" s="152">
        <v>0</v>
      </c>
      <c r="AL39" s="152">
        <v>0</v>
      </c>
      <c r="AM39" s="152">
        <v>0</v>
      </c>
    </row>
    <row r="40" spans="1:39" ht="13.2">
      <c r="A40" s="260"/>
      <c r="B40" s="267"/>
      <c r="C40" s="147">
        <f>Kalk!C20</f>
        <v>0</v>
      </c>
      <c r="D40" s="147">
        <f>Kalk!E20</f>
        <v>0</v>
      </c>
      <c r="E40" s="147">
        <f>Kalk!G20</f>
        <v>0</v>
      </c>
      <c r="F40" s="147">
        <f ca="1">Kalk!I20</f>
        <v>47</v>
      </c>
      <c r="G40" s="147">
        <f ca="1">Kalk!I22</f>
        <v>8</v>
      </c>
      <c r="H40" s="147" t="str">
        <f>Kalk!B20</f>
        <v>F0201</v>
      </c>
      <c r="I40" s="269"/>
      <c r="J40" s="88">
        <f>Kalk!AH20</f>
        <v>0</v>
      </c>
      <c r="K40" s="150" t="str">
        <f ca="1">IF($B41=1,SUM(S45:Y45),"")</f>
        <v/>
      </c>
      <c r="L40" s="150">
        <v>0</v>
      </c>
      <c r="M40" s="151">
        <v>0</v>
      </c>
      <c r="N40" s="151">
        <v>0</v>
      </c>
      <c r="O40" s="151">
        <v>0</v>
      </c>
      <c r="P40" s="152">
        <v>0</v>
      </c>
      <c r="Q40" s="152">
        <v>0</v>
      </c>
      <c r="R40" s="152">
        <v>0</v>
      </c>
      <c r="S40" s="150">
        <v>0</v>
      </c>
      <c r="T40" s="151">
        <v>0</v>
      </c>
      <c r="U40" s="151">
        <v>0</v>
      </c>
      <c r="V40" s="151">
        <v>0</v>
      </c>
      <c r="W40" s="152">
        <v>0</v>
      </c>
      <c r="X40" s="152">
        <v>0</v>
      </c>
      <c r="Y40" s="152">
        <v>0</v>
      </c>
      <c r="Z40" s="150">
        <v>0</v>
      </c>
      <c r="AA40" s="151">
        <v>0</v>
      </c>
      <c r="AB40" s="151">
        <v>0</v>
      </c>
      <c r="AC40" s="151">
        <v>0</v>
      </c>
      <c r="AD40" s="152">
        <v>0</v>
      </c>
      <c r="AE40" s="152">
        <v>0</v>
      </c>
      <c r="AF40" s="152">
        <v>0</v>
      </c>
      <c r="AG40" s="150">
        <v>0</v>
      </c>
      <c r="AH40" s="151">
        <v>0</v>
      </c>
      <c r="AI40" s="151">
        <v>0</v>
      </c>
      <c r="AJ40" s="151">
        <v>0</v>
      </c>
      <c r="AK40" s="152">
        <v>0</v>
      </c>
      <c r="AL40" s="152">
        <v>0</v>
      </c>
      <c r="AM40" s="152">
        <v>0</v>
      </c>
    </row>
    <row r="41" spans="1:39" ht="13.2">
      <c r="A41" s="260"/>
      <c r="B41" s="153">
        <f ca="1">IF(SUM(C68:H68)+H71=7,1,0)</f>
        <v>0</v>
      </c>
      <c r="C41" s="88">
        <f>IF((C67&gt;132)*AND(C67&lt;941),1,0)</f>
        <v>0</v>
      </c>
      <c r="D41" s="88">
        <f>IF((D67&gt;=132)*AND(D67&lt;481),1,0)</f>
        <v>0</v>
      </c>
      <c r="E41" s="88">
        <f>IF((E67&gt;89)*AND(E67&lt;481),1,0)</f>
        <v>0</v>
      </c>
      <c r="F41" s="88">
        <f ca="1">IF((F67&gt;547)*AND(F67&lt;=2180),1,0)</f>
        <v>0</v>
      </c>
      <c r="G41" s="88">
        <f ca="1">IF((G67&gt;263)*AND(G67&lt;891),1,0)</f>
        <v>0</v>
      </c>
      <c r="H41" s="88">
        <f>IF(OR(H67="F0200",H67="F0201",H67="F0202",H67="F0203",H67="F0201-F0203",H67="F0200-F0203",H67="F0501"),1,0)</f>
        <v>1</v>
      </c>
      <c r="I41" s="154">
        <f>Kalk!M39</f>
        <v>0</v>
      </c>
      <c r="J41" s="88">
        <f>Kalk!AH21</f>
        <v>0</v>
      </c>
      <c r="K41" s="150" t="str">
        <f ca="1">IF($B41=1,SUM(Z45:AF45),"")</f>
        <v/>
      </c>
      <c r="L41" s="150">
        <v>0</v>
      </c>
      <c r="M41" s="151">
        <v>0</v>
      </c>
      <c r="N41" s="151">
        <v>0</v>
      </c>
      <c r="O41" s="151">
        <v>0</v>
      </c>
      <c r="P41" s="152">
        <v>0</v>
      </c>
      <c r="Q41" s="152">
        <v>0</v>
      </c>
      <c r="R41" s="152">
        <v>0</v>
      </c>
      <c r="S41" s="150">
        <v>0</v>
      </c>
      <c r="T41" s="151">
        <v>0</v>
      </c>
      <c r="U41" s="151">
        <v>0</v>
      </c>
      <c r="V41" s="151">
        <v>0</v>
      </c>
      <c r="W41" s="152">
        <v>0</v>
      </c>
      <c r="X41" s="152">
        <v>0</v>
      </c>
      <c r="Y41" s="152">
        <v>0</v>
      </c>
      <c r="Z41" s="150">
        <v>0</v>
      </c>
      <c r="AA41" s="151">
        <v>0</v>
      </c>
      <c r="AB41" s="151">
        <v>0</v>
      </c>
      <c r="AC41" s="151">
        <v>0</v>
      </c>
      <c r="AD41" s="152">
        <v>0</v>
      </c>
      <c r="AE41" s="152">
        <v>0</v>
      </c>
      <c r="AF41" s="152">
        <v>0</v>
      </c>
      <c r="AG41" s="150">
        <v>0</v>
      </c>
      <c r="AH41" s="151">
        <v>0</v>
      </c>
      <c r="AI41" s="151">
        <v>0</v>
      </c>
      <c r="AJ41" s="151">
        <v>0</v>
      </c>
      <c r="AK41" s="152">
        <v>0</v>
      </c>
      <c r="AL41" s="152">
        <v>0</v>
      </c>
      <c r="AM41" s="152">
        <v>0</v>
      </c>
    </row>
    <row r="42" spans="1:39" ht="12.9" customHeight="1">
      <c r="A42" s="260"/>
      <c r="B42" s="269" t="s">
        <v>968</v>
      </c>
      <c r="E42" t="s">
        <v>35</v>
      </c>
      <c r="G42" s="269" t="s">
        <v>969</v>
      </c>
      <c r="H42" s="269" t="s">
        <v>970</v>
      </c>
      <c r="I42" s="269" t="s">
        <v>971</v>
      </c>
      <c r="J42" s="88">
        <f>Kalk!AH22</f>
        <v>0</v>
      </c>
      <c r="K42" s="150" t="str">
        <f ca="1">IF($B41=1,SUM(AG45:AM45),"")</f>
        <v/>
      </c>
      <c r="L42" s="150">
        <v>0</v>
      </c>
      <c r="M42" s="151">
        <v>0</v>
      </c>
      <c r="N42" s="151">
        <v>0</v>
      </c>
      <c r="O42" s="151">
        <v>0</v>
      </c>
      <c r="P42" s="152">
        <v>0</v>
      </c>
      <c r="Q42" s="152">
        <v>0</v>
      </c>
      <c r="R42" s="152">
        <v>0</v>
      </c>
      <c r="S42" s="150">
        <v>0</v>
      </c>
      <c r="T42" s="151">
        <v>0</v>
      </c>
      <c r="U42" s="151">
        <v>0</v>
      </c>
      <c r="V42" s="151">
        <v>0</v>
      </c>
      <c r="W42" s="152">
        <v>0</v>
      </c>
      <c r="X42" s="152">
        <v>0</v>
      </c>
      <c r="Y42" s="152">
        <v>0</v>
      </c>
      <c r="Z42" s="150">
        <v>0</v>
      </c>
      <c r="AA42" s="151">
        <v>0</v>
      </c>
      <c r="AB42" s="151">
        <v>0</v>
      </c>
      <c r="AC42" s="151">
        <v>0</v>
      </c>
      <c r="AD42" s="152">
        <v>0</v>
      </c>
      <c r="AE42" s="152">
        <v>0</v>
      </c>
      <c r="AF42" s="152">
        <v>0</v>
      </c>
      <c r="AG42" s="150">
        <v>0</v>
      </c>
      <c r="AH42" s="151">
        <v>0</v>
      </c>
      <c r="AI42" s="151">
        <v>0</v>
      </c>
      <c r="AJ42" s="151">
        <v>0</v>
      </c>
      <c r="AK42" s="152">
        <v>0</v>
      </c>
      <c r="AL42" s="152">
        <v>0</v>
      </c>
      <c r="AM42" s="152">
        <v>0</v>
      </c>
    </row>
    <row r="43" spans="1:39" ht="13.2">
      <c r="A43" s="260"/>
      <c r="B43" s="269"/>
      <c r="C43" s="155"/>
      <c r="D43" s="155"/>
      <c r="F43" s="156"/>
      <c r="G43" s="269"/>
      <c r="H43" s="269"/>
      <c r="I43" s="269"/>
      <c r="J43" s="6"/>
      <c r="K43" s="157"/>
      <c r="L43" s="150">
        <v>0</v>
      </c>
      <c r="M43" s="151">
        <v>0</v>
      </c>
      <c r="N43" s="151">
        <v>0</v>
      </c>
      <c r="O43" s="151">
        <v>0</v>
      </c>
      <c r="P43" s="152">
        <v>0</v>
      </c>
      <c r="Q43" s="152">
        <v>0</v>
      </c>
      <c r="R43" s="152">
        <v>0</v>
      </c>
      <c r="S43" s="150">
        <v>0</v>
      </c>
      <c r="T43" s="151">
        <v>0</v>
      </c>
      <c r="U43" s="151">
        <v>0</v>
      </c>
      <c r="V43" s="151">
        <v>0</v>
      </c>
      <c r="W43" s="152">
        <v>0</v>
      </c>
      <c r="X43" s="152">
        <v>0</v>
      </c>
      <c r="Y43" s="152">
        <v>0</v>
      </c>
      <c r="Z43" s="150">
        <v>0</v>
      </c>
      <c r="AA43" s="151">
        <v>0</v>
      </c>
      <c r="AB43" s="151">
        <v>0</v>
      </c>
      <c r="AC43" s="151">
        <v>0</v>
      </c>
      <c r="AD43" s="152">
        <v>0</v>
      </c>
      <c r="AE43" s="152">
        <v>0</v>
      </c>
      <c r="AF43" s="152">
        <v>0</v>
      </c>
      <c r="AG43" s="150">
        <v>0</v>
      </c>
      <c r="AH43" s="151">
        <v>0</v>
      </c>
      <c r="AI43" s="151">
        <v>0</v>
      </c>
      <c r="AJ43" s="151">
        <v>0</v>
      </c>
      <c r="AK43" s="152">
        <v>0</v>
      </c>
      <c r="AL43" s="152">
        <v>0</v>
      </c>
      <c r="AM43" s="152">
        <v>0</v>
      </c>
    </row>
    <row r="44" spans="1:39" ht="13.2">
      <c r="A44" s="260"/>
      <c r="B44" s="158">
        <f ca="1">Kalk!J19</f>
        <v>3.7599999999999998E-4</v>
      </c>
      <c r="C44" s="123"/>
      <c r="D44" s="123"/>
      <c r="E44" s="159"/>
      <c r="F44" s="6"/>
      <c r="G44" s="88">
        <f>IF(Kalk!B3="Die cut",1,0)</f>
        <v>0</v>
      </c>
      <c r="H44" s="88">
        <f ca="1">IF((G40-E40-14)/2&lt;=240,1,0)</f>
        <v>1</v>
      </c>
      <c r="I44" s="154">
        <f>Kalk!W19</f>
        <v>0</v>
      </c>
      <c r="J44" s="160"/>
      <c r="K44" s="161"/>
      <c r="L44" s="162">
        <v>0</v>
      </c>
      <c r="M44" s="163">
        <v>0</v>
      </c>
      <c r="N44" s="163">
        <v>0</v>
      </c>
      <c r="O44" s="163">
        <v>0</v>
      </c>
      <c r="P44" s="164">
        <v>0</v>
      </c>
      <c r="Q44" s="164">
        <v>0</v>
      </c>
      <c r="R44" s="164">
        <v>0</v>
      </c>
      <c r="S44" s="162">
        <v>0</v>
      </c>
      <c r="T44" s="163">
        <v>0</v>
      </c>
      <c r="U44" s="163">
        <v>0</v>
      </c>
      <c r="V44" s="163">
        <v>0</v>
      </c>
      <c r="W44" s="164">
        <v>0</v>
      </c>
      <c r="X44" s="164">
        <v>0</v>
      </c>
      <c r="Y44" s="164">
        <v>0</v>
      </c>
      <c r="Z44" s="162">
        <v>0</v>
      </c>
      <c r="AA44" s="163">
        <v>0</v>
      </c>
      <c r="AB44" s="163">
        <v>0</v>
      </c>
      <c r="AC44" s="163">
        <v>0</v>
      </c>
      <c r="AD44" s="164">
        <v>0</v>
      </c>
      <c r="AE44" s="164">
        <v>0</v>
      </c>
      <c r="AF44" s="164">
        <v>0</v>
      </c>
      <c r="AG44" s="162">
        <v>0</v>
      </c>
      <c r="AH44" s="163">
        <v>0</v>
      </c>
      <c r="AI44" s="163">
        <v>0</v>
      </c>
      <c r="AJ44" s="163">
        <v>0</v>
      </c>
      <c r="AK44" s="164">
        <v>0</v>
      </c>
      <c r="AL44" s="164">
        <v>0</v>
      </c>
      <c r="AM44" s="164">
        <v>0</v>
      </c>
    </row>
    <row r="45" spans="1:39" ht="13.2">
      <c r="A45" s="260"/>
      <c r="B45" s="158"/>
      <c r="C45" s="123"/>
      <c r="D45" s="123"/>
      <c r="E45" s="159"/>
      <c r="F45" s="6"/>
      <c r="G45" s="6"/>
      <c r="H45" s="6"/>
      <c r="I45" s="154"/>
      <c r="J45" s="160"/>
      <c r="K45" s="161"/>
      <c r="L45" s="165">
        <f t="shared" ref="L45:AB45" si="8">SUM(L39:L44)</f>
        <v>0</v>
      </c>
      <c r="M45" s="88">
        <f t="shared" si="8"/>
        <v>0</v>
      </c>
      <c r="N45" s="88">
        <f t="shared" si="8"/>
        <v>0</v>
      </c>
      <c r="O45" s="88">
        <f t="shared" si="8"/>
        <v>0</v>
      </c>
      <c r="P45" s="88">
        <f t="shared" si="8"/>
        <v>0</v>
      </c>
      <c r="Q45" s="88">
        <f t="shared" si="8"/>
        <v>0</v>
      </c>
      <c r="R45" s="88">
        <f t="shared" si="8"/>
        <v>0</v>
      </c>
      <c r="S45" s="88">
        <f t="shared" si="8"/>
        <v>0</v>
      </c>
      <c r="T45" s="88">
        <f t="shared" si="8"/>
        <v>0</v>
      </c>
      <c r="U45" s="88">
        <f t="shared" si="8"/>
        <v>0</v>
      </c>
      <c r="V45" s="88">
        <f t="shared" si="8"/>
        <v>0</v>
      </c>
      <c r="W45" s="88">
        <f t="shared" si="8"/>
        <v>0</v>
      </c>
      <c r="X45" s="88">
        <f t="shared" si="8"/>
        <v>0</v>
      </c>
      <c r="Y45" s="88">
        <f t="shared" si="8"/>
        <v>0</v>
      </c>
      <c r="Z45" s="88">
        <f t="shared" si="8"/>
        <v>0</v>
      </c>
      <c r="AA45" s="88">
        <f t="shared" si="8"/>
        <v>0</v>
      </c>
      <c r="AB45" s="88">
        <f t="shared" si="8"/>
        <v>0</v>
      </c>
      <c r="AC45" s="88">
        <f>SUM(AB39:AB44)</f>
        <v>0</v>
      </c>
      <c r="AD45" s="88">
        <f t="shared" ref="AD45:AM45" si="9">SUM(AD39:AD44)</f>
        <v>0</v>
      </c>
      <c r="AE45" s="88">
        <f t="shared" si="9"/>
        <v>0</v>
      </c>
      <c r="AF45" s="88">
        <f t="shared" si="9"/>
        <v>0</v>
      </c>
      <c r="AG45" s="88">
        <f t="shared" si="9"/>
        <v>0</v>
      </c>
      <c r="AH45" s="88">
        <f t="shared" si="9"/>
        <v>0</v>
      </c>
      <c r="AI45" s="88">
        <f t="shared" si="9"/>
        <v>0</v>
      </c>
      <c r="AJ45" s="88">
        <f t="shared" si="9"/>
        <v>0</v>
      </c>
      <c r="AK45" s="88">
        <f t="shared" si="9"/>
        <v>0</v>
      </c>
      <c r="AL45" s="88">
        <f t="shared" si="9"/>
        <v>0</v>
      </c>
      <c r="AM45" s="88">
        <f t="shared" si="9"/>
        <v>0</v>
      </c>
    </row>
    <row r="46" spans="1:39" ht="13.2">
      <c r="A46" s="260"/>
      <c r="B46" s="123"/>
      <c r="C46" s="123"/>
      <c r="D46" s="123"/>
      <c r="E46" s="159"/>
      <c r="F46" s="6"/>
      <c r="G46" s="6"/>
      <c r="H46" s="6"/>
      <c r="I46" s="6"/>
      <c r="J46" s="166"/>
    </row>
    <row r="47" spans="1:39" ht="13.2">
      <c r="B47" s="167"/>
      <c r="C47" s="167"/>
      <c r="D47" s="167"/>
      <c r="E47" s="167"/>
      <c r="F47" s="167"/>
      <c r="G47" s="167"/>
      <c r="H47" s="167"/>
      <c r="I47" s="167"/>
      <c r="J47" s="88" t="s">
        <v>83</v>
      </c>
      <c r="K47" s="110" t="s">
        <v>956</v>
      </c>
      <c r="L47" s="110" t="s">
        <v>957</v>
      </c>
      <c r="M47" s="116" t="s">
        <v>958</v>
      </c>
      <c r="N47" s="116" t="s">
        <v>959</v>
      </c>
      <c r="O47" s="116" t="s">
        <v>960</v>
      </c>
      <c r="P47" s="146" t="s">
        <v>958</v>
      </c>
      <c r="Q47" s="146" t="s">
        <v>959</v>
      </c>
      <c r="R47" s="146" t="s">
        <v>960</v>
      </c>
      <c r="S47" s="110" t="s">
        <v>957</v>
      </c>
      <c r="T47" s="116" t="s">
        <v>958</v>
      </c>
      <c r="U47" s="116" t="s">
        <v>959</v>
      </c>
      <c r="V47" s="116" t="s">
        <v>960</v>
      </c>
      <c r="W47" s="146" t="s">
        <v>958</v>
      </c>
      <c r="X47" s="146" t="s">
        <v>959</v>
      </c>
      <c r="Y47" s="146" t="s">
        <v>960</v>
      </c>
      <c r="Z47" s="110" t="s">
        <v>957</v>
      </c>
      <c r="AA47" s="116" t="s">
        <v>958</v>
      </c>
      <c r="AB47" s="116" t="s">
        <v>959</v>
      </c>
      <c r="AC47" s="116" t="s">
        <v>960</v>
      </c>
      <c r="AD47" s="146" t="s">
        <v>958</v>
      </c>
      <c r="AE47" s="146" t="s">
        <v>959</v>
      </c>
      <c r="AF47" s="146" t="s">
        <v>960</v>
      </c>
      <c r="AG47" s="110" t="s">
        <v>957</v>
      </c>
      <c r="AH47" s="116" t="s">
        <v>958</v>
      </c>
      <c r="AI47" s="116" t="s">
        <v>959</v>
      </c>
      <c r="AJ47" s="116" t="s">
        <v>960</v>
      </c>
      <c r="AK47" s="146" t="s">
        <v>958</v>
      </c>
      <c r="AL47" s="146" t="s">
        <v>959</v>
      </c>
      <c r="AM47" s="146" t="s">
        <v>960</v>
      </c>
    </row>
    <row r="48" spans="1:39" ht="13.35" customHeight="1">
      <c r="A48" s="260">
        <v>6</v>
      </c>
      <c r="B48" s="267" t="s">
        <v>962</v>
      </c>
      <c r="C48" s="147" t="s">
        <v>56</v>
      </c>
      <c r="D48" s="147" t="s">
        <v>57</v>
      </c>
      <c r="E48" s="147" t="s">
        <v>66</v>
      </c>
      <c r="F48" s="268" t="s">
        <v>963</v>
      </c>
      <c r="G48" s="268"/>
      <c r="H48" s="148" t="s">
        <v>964</v>
      </c>
      <c r="I48" s="269" t="s">
        <v>965</v>
      </c>
      <c r="J48" s="88">
        <f>Kalk!AH23</f>
        <v>0</v>
      </c>
      <c r="K48" s="150" t="str">
        <f ca="1">IF($B50=1,SUM(L54:R54),"")</f>
        <v/>
      </c>
      <c r="L48" s="150">
        <v>0</v>
      </c>
      <c r="M48" s="151">
        <v>0</v>
      </c>
      <c r="N48" s="151">
        <v>0</v>
      </c>
      <c r="O48" s="151">
        <v>0</v>
      </c>
      <c r="P48" s="152">
        <v>0</v>
      </c>
      <c r="Q48" s="152">
        <v>0</v>
      </c>
      <c r="R48" s="152">
        <v>0</v>
      </c>
      <c r="S48" s="150">
        <v>0</v>
      </c>
      <c r="T48" s="151">
        <v>0</v>
      </c>
      <c r="U48" s="151">
        <v>0</v>
      </c>
      <c r="V48" s="151">
        <v>0</v>
      </c>
      <c r="W48" s="152">
        <v>0</v>
      </c>
      <c r="X48" s="152">
        <v>0</v>
      </c>
      <c r="Y48" s="152">
        <v>0</v>
      </c>
      <c r="Z48" s="150">
        <v>0</v>
      </c>
      <c r="AA48" s="151">
        <v>0</v>
      </c>
      <c r="AB48" s="151">
        <v>0</v>
      </c>
      <c r="AC48" s="151">
        <v>0</v>
      </c>
      <c r="AD48" s="152">
        <v>0</v>
      </c>
      <c r="AE48" s="152">
        <v>0</v>
      </c>
      <c r="AF48" s="152">
        <v>0</v>
      </c>
      <c r="AG48" s="150">
        <v>0</v>
      </c>
      <c r="AH48" s="151">
        <v>0</v>
      </c>
      <c r="AI48" s="151">
        <v>0</v>
      </c>
      <c r="AJ48" s="151">
        <v>0</v>
      </c>
      <c r="AK48" s="152">
        <v>0</v>
      </c>
      <c r="AL48" s="152">
        <v>0</v>
      </c>
      <c r="AM48" s="152">
        <v>0</v>
      </c>
    </row>
    <row r="49" spans="1:39" ht="13.2">
      <c r="A49" s="260"/>
      <c r="B49" s="267"/>
      <c r="C49" s="147">
        <f>Kalk!C24</f>
        <v>0</v>
      </c>
      <c r="D49" s="147">
        <f>Kalk!E24</f>
        <v>0</v>
      </c>
      <c r="E49" s="147">
        <f>Kalk!G24</f>
        <v>0</v>
      </c>
      <c r="F49" s="147">
        <f ca="1">Kalk!I24</f>
        <v>47</v>
      </c>
      <c r="G49" s="147">
        <f ca="1">Kalk!I26</f>
        <v>8</v>
      </c>
      <c r="H49" s="147" t="str">
        <f>Kalk!B24</f>
        <v>F0201</v>
      </c>
      <c r="I49" s="269"/>
      <c r="J49" s="88">
        <f>Kalk!AH24</f>
        <v>0</v>
      </c>
      <c r="K49" s="150" t="str">
        <f ca="1">IF($B50=1,SUM(S54:Y54),"")</f>
        <v/>
      </c>
      <c r="L49" s="150">
        <v>0</v>
      </c>
      <c r="M49" s="151">
        <v>0</v>
      </c>
      <c r="N49" s="151">
        <v>0</v>
      </c>
      <c r="O49" s="151">
        <v>0</v>
      </c>
      <c r="P49" s="152">
        <v>0</v>
      </c>
      <c r="Q49" s="152">
        <v>0</v>
      </c>
      <c r="R49" s="152">
        <v>0</v>
      </c>
      <c r="S49" s="150">
        <v>0</v>
      </c>
      <c r="T49" s="151">
        <v>0</v>
      </c>
      <c r="U49" s="151">
        <v>0</v>
      </c>
      <c r="V49" s="151">
        <v>0</v>
      </c>
      <c r="W49" s="152">
        <v>0</v>
      </c>
      <c r="X49" s="152">
        <v>0</v>
      </c>
      <c r="Y49" s="152">
        <v>0</v>
      </c>
      <c r="Z49" s="150">
        <v>0</v>
      </c>
      <c r="AA49" s="151">
        <v>0</v>
      </c>
      <c r="AB49" s="151">
        <v>0</v>
      </c>
      <c r="AC49" s="151">
        <v>0</v>
      </c>
      <c r="AD49" s="152">
        <v>0</v>
      </c>
      <c r="AE49" s="152">
        <v>0</v>
      </c>
      <c r="AF49" s="152">
        <v>0</v>
      </c>
      <c r="AG49" s="150">
        <v>0</v>
      </c>
      <c r="AH49" s="151">
        <v>0</v>
      </c>
      <c r="AI49" s="151">
        <v>0</v>
      </c>
      <c r="AJ49" s="151">
        <v>0</v>
      </c>
      <c r="AK49" s="152">
        <v>0</v>
      </c>
      <c r="AL49" s="152">
        <v>0</v>
      </c>
      <c r="AM49" s="152">
        <v>0</v>
      </c>
    </row>
    <row r="50" spans="1:39" ht="13.2">
      <c r="A50" s="260"/>
      <c r="B50" s="153">
        <f ca="1">IF(SUM(C77:H77)+H80=7,1,0)</f>
        <v>0</v>
      </c>
      <c r="C50" s="88">
        <f>IF((C76&gt;132)*AND(C76&lt;941),1,0)</f>
        <v>0</v>
      </c>
      <c r="D50" s="88">
        <f>IF((D76&gt;=132)*AND(D76&lt;481),1,0)</f>
        <v>0</v>
      </c>
      <c r="E50" s="88">
        <f>IF((E76&gt;89)*AND(E76&lt;481),1,0)</f>
        <v>0</v>
      </c>
      <c r="F50" s="88">
        <f ca="1">IF((F76&gt;547)*AND(F76&lt;=2180),1,0)</f>
        <v>0</v>
      </c>
      <c r="G50" s="88">
        <f ca="1">IF((G76&gt;263)*AND(G76&lt;891),1,0)</f>
        <v>0</v>
      </c>
      <c r="H50" s="88">
        <f>IF(OR(H76="F0200",H76="F0201",H76="F0202",H76="F0203",H76="F0201-F0203",H76="F0200-F0203",H76="F0501"),1,0)</f>
        <v>1</v>
      </c>
      <c r="I50" s="154">
        <f>Kalk!M48</f>
        <v>0</v>
      </c>
      <c r="J50" s="88">
        <f>Kalk!AH25</f>
        <v>0</v>
      </c>
      <c r="K50" s="150" t="str">
        <f ca="1">IF($B50=1,SUM(Z54:AF54),"")</f>
        <v/>
      </c>
      <c r="L50" s="150">
        <v>0</v>
      </c>
      <c r="M50" s="151">
        <v>0</v>
      </c>
      <c r="N50" s="151">
        <v>0</v>
      </c>
      <c r="O50" s="151">
        <v>0</v>
      </c>
      <c r="P50" s="152">
        <v>0</v>
      </c>
      <c r="Q50" s="152">
        <v>0</v>
      </c>
      <c r="R50" s="152">
        <v>0</v>
      </c>
      <c r="S50" s="150">
        <v>0</v>
      </c>
      <c r="T50" s="151">
        <v>0</v>
      </c>
      <c r="U50" s="151">
        <v>0</v>
      </c>
      <c r="V50" s="151">
        <v>0</v>
      </c>
      <c r="W50" s="152">
        <v>0</v>
      </c>
      <c r="X50" s="152">
        <v>0</v>
      </c>
      <c r="Y50" s="152">
        <v>0</v>
      </c>
      <c r="Z50" s="150">
        <v>0</v>
      </c>
      <c r="AA50" s="151">
        <v>0</v>
      </c>
      <c r="AB50" s="151">
        <v>0</v>
      </c>
      <c r="AC50" s="151">
        <v>0</v>
      </c>
      <c r="AD50" s="152">
        <v>0</v>
      </c>
      <c r="AE50" s="152">
        <v>0</v>
      </c>
      <c r="AF50" s="152">
        <v>0</v>
      </c>
      <c r="AG50" s="150">
        <v>0</v>
      </c>
      <c r="AH50" s="151">
        <v>0</v>
      </c>
      <c r="AI50" s="151">
        <v>0</v>
      </c>
      <c r="AJ50" s="151">
        <v>0</v>
      </c>
      <c r="AK50" s="152">
        <v>0</v>
      </c>
      <c r="AL50" s="152">
        <v>0</v>
      </c>
      <c r="AM50" s="152">
        <v>0</v>
      </c>
    </row>
    <row r="51" spans="1:39" ht="12.9" customHeight="1">
      <c r="A51" s="260"/>
      <c r="B51" s="269" t="s">
        <v>968</v>
      </c>
      <c r="E51" t="s">
        <v>35</v>
      </c>
      <c r="G51" s="269" t="s">
        <v>969</v>
      </c>
      <c r="H51" s="269" t="s">
        <v>970</v>
      </c>
      <c r="I51" s="269" t="s">
        <v>971</v>
      </c>
      <c r="J51" s="88">
        <f>Kalk!AH26</f>
        <v>0</v>
      </c>
      <c r="K51" s="150" t="str">
        <f ca="1">IF($B50=1,SUM(AG54:AM54),"")</f>
        <v/>
      </c>
      <c r="L51" s="150">
        <v>0</v>
      </c>
      <c r="M51" s="151">
        <v>0</v>
      </c>
      <c r="N51" s="151">
        <v>0</v>
      </c>
      <c r="O51" s="151">
        <v>0</v>
      </c>
      <c r="P51" s="152">
        <v>0</v>
      </c>
      <c r="Q51" s="152">
        <v>0</v>
      </c>
      <c r="R51" s="152">
        <v>0</v>
      </c>
      <c r="S51" s="150">
        <v>0</v>
      </c>
      <c r="T51" s="151">
        <v>0</v>
      </c>
      <c r="U51" s="151">
        <v>0</v>
      </c>
      <c r="V51" s="151">
        <v>0</v>
      </c>
      <c r="W51" s="152">
        <v>0</v>
      </c>
      <c r="X51" s="152">
        <v>0</v>
      </c>
      <c r="Y51" s="152">
        <v>0</v>
      </c>
      <c r="Z51" s="150">
        <v>0</v>
      </c>
      <c r="AA51" s="151">
        <v>0</v>
      </c>
      <c r="AB51" s="151">
        <v>0</v>
      </c>
      <c r="AC51" s="151">
        <v>0</v>
      </c>
      <c r="AD51" s="152">
        <v>0</v>
      </c>
      <c r="AE51" s="152">
        <v>0</v>
      </c>
      <c r="AF51" s="152">
        <v>0</v>
      </c>
      <c r="AG51" s="150">
        <v>0</v>
      </c>
      <c r="AH51" s="151">
        <v>0</v>
      </c>
      <c r="AI51" s="151">
        <v>0</v>
      </c>
      <c r="AJ51" s="151">
        <v>0</v>
      </c>
      <c r="AK51" s="152">
        <v>0</v>
      </c>
      <c r="AL51" s="152">
        <v>0</v>
      </c>
      <c r="AM51" s="152">
        <v>0</v>
      </c>
    </row>
    <row r="52" spans="1:39" ht="13.2">
      <c r="A52" s="260"/>
      <c r="B52" s="269"/>
      <c r="C52" s="155"/>
      <c r="D52" s="155"/>
      <c r="F52" s="156"/>
      <c r="G52" s="269"/>
      <c r="H52" s="269"/>
      <c r="I52" s="269"/>
      <c r="J52" s="6"/>
      <c r="K52" s="157"/>
      <c r="L52" s="150">
        <v>0</v>
      </c>
      <c r="M52" s="151">
        <v>0</v>
      </c>
      <c r="N52" s="151">
        <v>0</v>
      </c>
      <c r="O52" s="151">
        <v>0</v>
      </c>
      <c r="P52" s="152">
        <v>0</v>
      </c>
      <c r="Q52" s="152">
        <v>0</v>
      </c>
      <c r="R52" s="152">
        <v>0</v>
      </c>
      <c r="S52" s="150">
        <v>0</v>
      </c>
      <c r="T52" s="151">
        <v>0</v>
      </c>
      <c r="U52" s="151">
        <v>0</v>
      </c>
      <c r="V52" s="151">
        <v>0</v>
      </c>
      <c r="W52" s="152">
        <v>0</v>
      </c>
      <c r="X52" s="152">
        <v>0</v>
      </c>
      <c r="Y52" s="152">
        <v>0</v>
      </c>
      <c r="Z52" s="150">
        <v>0</v>
      </c>
      <c r="AA52" s="151">
        <v>0</v>
      </c>
      <c r="AB52" s="151">
        <v>0</v>
      </c>
      <c r="AC52" s="151">
        <v>0</v>
      </c>
      <c r="AD52" s="152">
        <v>0</v>
      </c>
      <c r="AE52" s="152">
        <v>0</v>
      </c>
      <c r="AF52" s="152">
        <v>0</v>
      </c>
      <c r="AG52" s="150">
        <v>0</v>
      </c>
      <c r="AH52" s="151">
        <v>0</v>
      </c>
      <c r="AI52" s="151">
        <v>0</v>
      </c>
      <c r="AJ52" s="151">
        <v>0</v>
      </c>
      <c r="AK52" s="152">
        <v>0</v>
      </c>
      <c r="AL52" s="152">
        <v>0</v>
      </c>
      <c r="AM52" s="152">
        <v>0</v>
      </c>
    </row>
    <row r="53" spans="1:39" ht="13.2">
      <c r="A53" s="260"/>
      <c r="B53" s="158">
        <f ca="1">Kalk!J23</f>
        <v>3.7599999999999998E-4</v>
      </c>
      <c r="C53" s="123"/>
      <c r="D53" s="123"/>
      <c r="E53" s="159"/>
      <c r="F53" s="6"/>
      <c r="G53" s="88">
        <f>IF(Kalk!B3="Die cut",1,0)</f>
        <v>0</v>
      </c>
      <c r="H53" s="88">
        <f ca="1">IF((G49-E49-14)/2&lt;=240,1,0)</f>
        <v>1</v>
      </c>
      <c r="I53" s="154">
        <f>Kalk!W23</f>
        <v>0</v>
      </c>
      <c r="J53" s="160"/>
      <c r="K53" s="161"/>
      <c r="L53" s="162">
        <v>0</v>
      </c>
      <c r="M53" s="163">
        <v>0</v>
      </c>
      <c r="N53" s="163">
        <v>0</v>
      </c>
      <c r="O53" s="163">
        <v>0</v>
      </c>
      <c r="P53" s="164">
        <v>0</v>
      </c>
      <c r="Q53" s="164">
        <v>0</v>
      </c>
      <c r="R53" s="164">
        <v>0</v>
      </c>
      <c r="S53" s="162">
        <v>0</v>
      </c>
      <c r="T53" s="163">
        <v>0</v>
      </c>
      <c r="U53" s="163">
        <v>0</v>
      </c>
      <c r="V53" s="163">
        <v>0</v>
      </c>
      <c r="W53" s="164">
        <v>0</v>
      </c>
      <c r="X53" s="164">
        <v>0</v>
      </c>
      <c r="Y53" s="164">
        <v>0</v>
      </c>
      <c r="Z53" s="162">
        <v>0</v>
      </c>
      <c r="AA53" s="163">
        <v>0</v>
      </c>
      <c r="AB53" s="163">
        <v>0</v>
      </c>
      <c r="AC53" s="163">
        <v>0</v>
      </c>
      <c r="AD53" s="164">
        <v>0</v>
      </c>
      <c r="AE53" s="164">
        <v>0</v>
      </c>
      <c r="AF53" s="164">
        <v>0</v>
      </c>
      <c r="AG53" s="162">
        <v>0</v>
      </c>
      <c r="AH53" s="163">
        <v>0</v>
      </c>
      <c r="AI53" s="163">
        <v>0</v>
      </c>
      <c r="AJ53" s="163">
        <v>0</v>
      </c>
      <c r="AK53" s="164">
        <v>0</v>
      </c>
      <c r="AL53" s="164">
        <v>0</v>
      </c>
      <c r="AM53" s="164">
        <v>0</v>
      </c>
    </row>
    <row r="54" spans="1:39" ht="13.2">
      <c r="A54" s="260"/>
      <c r="B54" s="158"/>
      <c r="C54" s="123"/>
      <c r="D54" s="123"/>
      <c r="E54" s="159"/>
      <c r="F54" s="6"/>
      <c r="G54" s="6"/>
      <c r="H54" s="6"/>
      <c r="I54" s="154"/>
      <c r="J54" s="160"/>
      <c r="K54" s="161"/>
      <c r="L54" s="165">
        <f t="shared" ref="L54:AB54" si="10">SUM(L48:L53)</f>
        <v>0</v>
      </c>
      <c r="M54" s="88">
        <f t="shared" si="10"/>
        <v>0</v>
      </c>
      <c r="N54" s="88">
        <f t="shared" si="10"/>
        <v>0</v>
      </c>
      <c r="O54" s="88">
        <f t="shared" si="10"/>
        <v>0</v>
      </c>
      <c r="P54" s="88">
        <f t="shared" si="10"/>
        <v>0</v>
      </c>
      <c r="Q54" s="88">
        <f t="shared" si="10"/>
        <v>0</v>
      </c>
      <c r="R54" s="88">
        <f t="shared" si="10"/>
        <v>0</v>
      </c>
      <c r="S54" s="88">
        <f t="shared" si="10"/>
        <v>0</v>
      </c>
      <c r="T54" s="88">
        <f t="shared" si="10"/>
        <v>0</v>
      </c>
      <c r="U54" s="88">
        <f t="shared" si="10"/>
        <v>0</v>
      </c>
      <c r="V54" s="88">
        <f t="shared" si="10"/>
        <v>0</v>
      </c>
      <c r="W54" s="88">
        <f t="shared" si="10"/>
        <v>0</v>
      </c>
      <c r="X54" s="88">
        <f t="shared" si="10"/>
        <v>0</v>
      </c>
      <c r="Y54" s="88">
        <f t="shared" si="10"/>
        <v>0</v>
      </c>
      <c r="Z54" s="88">
        <f t="shared" si="10"/>
        <v>0</v>
      </c>
      <c r="AA54" s="88">
        <f t="shared" si="10"/>
        <v>0</v>
      </c>
      <c r="AB54" s="88">
        <f t="shared" si="10"/>
        <v>0</v>
      </c>
      <c r="AC54" s="88">
        <f>SUM(AB48:AB53)</f>
        <v>0</v>
      </c>
      <c r="AD54" s="88">
        <f t="shared" ref="AD54:AM54" si="11">SUM(AD48:AD53)</f>
        <v>0</v>
      </c>
      <c r="AE54" s="88">
        <f t="shared" si="11"/>
        <v>0</v>
      </c>
      <c r="AF54" s="88">
        <f t="shared" si="11"/>
        <v>0</v>
      </c>
      <c r="AG54" s="88">
        <f t="shared" si="11"/>
        <v>0</v>
      </c>
      <c r="AH54" s="88">
        <f t="shared" si="11"/>
        <v>0</v>
      </c>
      <c r="AI54" s="88">
        <f t="shared" si="11"/>
        <v>0</v>
      </c>
      <c r="AJ54" s="88">
        <f t="shared" si="11"/>
        <v>0</v>
      </c>
      <c r="AK54" s="88">
        <f t="shared" si="11"/>
        <v>0</v>
      </c>
      <c r="AL54" s="88">
        <f t="shared" si="11"/>
        <v>0</v>
      </c>
      <c r="AM54" s="88">
        <f t="shared" si="11"/>
        <v>0</v>
      </c>
    </row>
    <row r="55" spans="1:39" ht="13.2">
      <c r="A55" s="260"/>
      <c r="B55" s="123"/>
      <c r="C55" s="123"/>
      <c r="D55" s="123"/>
      <c r="E55" s="159"/>
      <c r="F55" s="6"/>
      <c r="G55" s="6"/>
      <c r="H55" s="6"/>
      <c r="I55" s="6"/>
      <c r="J55" s="166"/>
    </row>
    <row r="56" spans="1:39" ht="13.2">
      <c r="B56" s="167"/>
      <c r="C56" s="167"/>
      <c r="D56" s="167"/>
      <c r="E56" s="167"/>
      <c r="F56" s="167"/>
      <c r="G56" s="167"/>
      <c r="H56" s="167"/>
      <c r="I56" s="167"/>
      <c r="J56" s="88" t="s">
        <v>83</v>
      </c>
      <c r="K56" s="110" t="s">
        <v>956</v>
      </c>
      <c r="L56" s="110" t="s">
        <v>957</v>
      </c>
      <c r="M56" s="116" t="s">
        <v>958</v>
      </c>
      <c r="N56" s="116" t="s">
        <v>959</v>
      </c>
      <c r="O56" s="116" t="s">
        <v>960</v>
      </c>
      <c r="P56" s="146" t="s">
        <v>958</v>
      </c>
      <c r="Q56" s="146" t="s">
        <v>959</v>
      </c>
      <c r="R56" s="146" t="s">
        <v>960</v>
      </c>
      <c r="S56" s="110" t="s">
        <v>957</v>
      </c>
      <c r="T56" s="116" t="s">
        <v>958</v>
      </c>
      <c r="U56" s="116" t="s">
        <v>959</v>
      </c>
      <c r="V56" s="116" t="s">
        <v>960</v>
      </c>
      <c r="W56" s="146" t="s">
        <v>958</v>
      </c>
      <c r="X56" s="146" t="s">
        <v>959</v>
      </c>
      <c r="Y56" s="146" t="s">
        <v>960</v>
      </c>
      <c r="Z56" s="110" t="s">
        <v>957</v>
      </c>
      <c r="AA56" s="116" t="s">
        <v>958</v>
      </c>
      <c r="AB56" s="116" t="s">
        <v>959</v>
      </c>
      <c r="AC56" s="116" t="s">
        <v>960</v>
      </c>
      <c r="AD56" s="146" t="s">
        <v>958</v>
      </c>
      <c r="AE56" s="146" t="s">
        <v>959</v>
      </c>
      <c r="AF56" s="146" t="s">
        <v>960</v>
      </c>
      <c r="AG56" s="110" t="s">
        <v>957</v>
      </c>
      <c r="AH56" s="116" t="s">
        <v>958</v>
      </c>
      <c r="AI56" s="116" t="s">
        <v>959</v>
      </c>
      <c r="AJ56" s="116" t="s">
        <v>960</v>
      </c>
      <c r="AK56" s="146" t="s">
        <v>958</v>
      </c>
      <c r="AL56" s="146" t="s">
        <v>959</v>
      </c>
      <c r="AM56" s="146" t="s">
        <v>960</v>
      </c>
    </row>
    <row r="57" spans="1:39" ht="13.35" customHeight="1">
      <c r="A57" s="260">
        <v>7</v>
      </c>
      <c r="B57" s="267" t="s">
        <v>962</v>
      </c>
      <c r="C57" s="147" t="s">
        <v>56</v>
      </c>
      <c r="D57" s="147" t="s">
        <v>57</v>
      </c>
      <c r="E57" s="147" t="s">
        <v>66</v>
      </c>
      <c r="F57" s="268" t="s">
        <v>963</v>
      </c>
      <c r="G57" s="268"/>
      <c r="H57" s="148" t="s">
        <v>964</v>
      </c>
      <c r="I57" s="269" t="s">
        <v>965</v>
      </c>
      <c r="J57" s="88">
        <f>Kalk!AH27</f>
        <v>0</v>
      </c>
      <c r="K57" s="150" t="str">
        <f ca="1">IF($B59=1,SUM(L63:R63),"")</f>
        <v/>
      </c>
      <c r="L57" s="150">
        <v>0</v>
      </c>
      <c r="M57" s="151">
        <v>0</v>
      </c>
      <c r="N57" s="151">
        <v>0</v>
      </c>
      <c r="O57" s="151">
        <v>0</v>
      </c>
      <c r="P57" s="152">
        <v>0</v>
      </c>
      <c r="Q57" s="152">
        <v>0</v>
      </c>
      <c r="R57" s="152">
        <v>0</v>
      </c>
      <c r="S57" s="150">
        <v>0</v>
      </c>
      <c r="T57" s="151">
        <v>0</v>
      </c>
      <c r="U57" s="151">
        <v>0</v>
      </c>
      <c r="V57" s="151">
        <v>0</v>
      </c>
      <c r="W57" s="152">
        <v>0</v>
      </c>
      <c r="X57" s="152">
        <v>0</v>
      </c>
      <c r="Y57" s="152">
        <v>0</v>
      </c>
      <c r="Z57" s="150">
        <v>0</v>
      </c>
      <c r="AA57" s="151">
        <v>0</v>
      </c>
      <c r="AB57" s="151">
        <v>0</v>
      </c>
      <c r="AC57" s="151">
        <v>0</v>
      </c>
      <c r="AD57" s="152">
        <v>0</v>
      </c>
      <c r="AE57" s="152">
        <v>0</v>
      </c>
      <c r="AF57" s="152">
        <v>0</v>
      </c>
      <c r="AG57" s="150">
        <v>0</v>
      </c>
      <c r="AH57" s="151">
        <v>0</v>
      </c>
      <c r="AI57" s="151">
        <v>0</v>
      </c>
      <c r="AJ57" s="151">
        <v>0</v>
      </c>
      <c r="AK57" s="152">
        <v>0</v>
      </c>
      <c r="AL57" s="152">
        <v>0</v>
      </c>
      <c r="AM57" s="152">
        <v>0</v>
      </c>
    </row>
    <row r="58" spans="1:39" ht="13.2">
      <c r="A58" s="260"/>
      <c r="B58" s="267"/>
      <c r="C58" s="147">
        <f>Kalk!C28</f>
        <v>0</v>
      </c>
      <c r="D58" s="147">
        <f>Kalk!E28</f>
        <v>0</v>
      </c>
      <c r="E58" s="147">
        <f>Kalk!G28</f>
        <v>0</v>
      </c>
      <c r="F58" s="147">
        <f ca="1">Kalk!I28</f>
        <v>47</v>
      </c>
      <c r="G58" s="147">
        <f ca="1">Kalk!I30</f>
        <v>8</v>
      </c>
      <c r="H58" s="147" t="str">
        <f>Kalk!B28</f>
        <v>F0201</v>
      </c>
      <c r="I58" s="269"/>
      <c r="J58" s="88">
        <f>Kalk!AH28</f>
        <v>0</v>
      </c>
      <c r="K58" s="150" t="str">
        <f ca="1">IF($B59=1,SUM(S63:Y63),"")</f>
        <v/>
      </c>
      <c r="L58" s="150">
        <v>0</v>
      </c>
      <c r="M58" s="151">
        <v>0</v>
      </c>
      <c r="N58" s="151">
        <v>0</v>
      </c>
      <c r="O58" s="151">
        <v>0</v>
      </c>
      <c r="P58" s="152">
        <v>0</v>
      </c>
      <c r="Q58" s="152">
        <v>0</v>
      </c>
      <c r="R58" s="152">
        <v>0</v>
      </c>
      <c r="S58" s="150">
        <v>0</v>
      </c>
      <c r="T58" s="151">
        <v>0</v>
      </c>
      <c r="U58" s="151">
        <v>0</v>
      </c>
      <c r="V58" s="151">
        <v>0</v>
      </c>
      <c r="W58" s="152">
        <v>0</v>
      </c>
      <c r="X58" s="152">
        <v>0</v>
      </c>
      <c r="Y58" s="152">
        <v>0</v>
      </c>
      <c r="Z58" s="150">
        <v>0</v>
      </c>
      <c r="AA58" s="151">
        <v>0</v>
      </c>
      <c r="AB58" s="151">
        <v>0</v>
      </c>
      <c r="AC58" s="151">
        <v>0</v>
      </c>
      <c r="AD58" s="152">
        <v>0</v>
      </c>
      <c r="AE58" s="152">
        <v>0</v>
      </c>
      <c r="AF58" s="152">
        <v>0</v>
      </c>
      <c r="AG58" s="150">
        <v>0</v>
      </c>
      <c r="AH58" s="151">
        <v>0</v>
      </c>
      <c r="AI58" s="151">
        <v>0</v>
      </c>
      <c r="AJ58" s="151">
        <v>0</v>
      </c>
      <c r="AK58" s="152">
        <v>0</v>
      </c>
      <c r="AL58" s="152">
        <v>0</v>
      </c>
      <c r="AM58" s="152">
        <v>0</v>
      </c>
    </row>
    <row r="59" spans="1:39" ht="13.2">
      <c r="A59" s="260"/>
      <c r="B59" s="153">
        <f ca="1">IF(SUM(C86:H86)+H89=7,1,0)</f>
        <v>0</v>
      </c>
      <c r="C59" s="88">
        <f>IF((C85&gt;132)*AND(C85&lt;941),1,0)</f>
        <v>0</v>
      </c>
      <c r="D59" s="88">
        <f>IF((D85&gt;=132)*AND(D85&lt;481),1,0)</f>
        <v>0</v>
      </c>
      <c r="E59" s="88">
        <f>IF((E85&gt;89)*AND(E85&lt;481),1,0)</f>
        <v>0</v>
      </c>
      <c r="F59" s="88">
        <f ca="1">IF((F85&gt;547)*AND(F85&lt;=2180),1,0)</f>
        <v>0</v>
      </c>
      <c r="G59" s="88">
        <f ca="1">IF((G85&gt;263)*AND(G85&lt;891),1,0)</f>
        <v>0</v>
      </c>
      <c r="H59" s="88">
        <f>IF(OR(H85="F0200",H85="F0201",H85="F0202",H85="F0203",H85="F0201-F0203",H85="F0200-F0203",H85="F0501"),1,0)</f>
        <v>1</v>
      </c>
      <c r="I59" s="154">
        <f>Kalk!M57</f>
        <v>0</v>
      </c>
      <c r="J59" s="88">
        <f>Kalk!AH29</f>
        <v>0</v>
      </c>
      <c r="K59" s="150" t="str">
        <f ca="1">IF($B59=1,SUM(Z63:AF63),"")</f>
        <v/>
      </c>
      <c r="L59" s="150">
        <v>0</v>
      </c>
      <c r="M59" s="151">
        <v>0</v>
      </c>
      <c r="N59" s="151">
        <v>0</v>
      </c>
      <c r="O59" s="151">
        <v>0</v>
      </c>
      <c r="P59" s="152">
        <v>0</v>
      </c>
      <c r="Q59" s="152">
        <v>0</v>
      </c>
      <c r="R59" s="152">
        <v>0</v>
      </c>
      <c r="S59" s="150">
        <v>0</v>
      </c>
      <c r="T59" s="151">
        <v>0</v>
      </c>
      <c r="U59" s="151">
        <v>0</v>
      </c>
      <c r="V59" s="151">
        <v>0</v>
      </c>
      <c r="W59" s="152">
        <v>0</v>
      </c>
      <c r="X59" s="152">
        <v>0</v>
      </c>
      <c r="Y59" s="152">
        <v>0</v>
      </c>
      <c r="Z59" s="150">
        <v>0</v>
      </c>
      <c r="AA59" s="151">
        <v>0</v>
      </c>
      <c r="AB59" s="151">
        <v>0</v>
      </c>
      <c r="AC59" s="151">
        <v>0</v>
      </c>
      <c r="AD59" s="152">
        <v>0</v>
      </c>
      <c r="AE59" s="152">
        <v>0</v>
      </c>
      <c r="AF59" s="152">
        <v>0</v>
      </c>
      <c r="AG59" s="150">
        <v>0</v>
      </c>
      <c r="AH59" s="151">
        <v>0</v>
      </c>
      <c r="AI59" s="151">
        <v>0</v>
      </c>
      <c r="AJ59" s="151">
        <v>0</v>
      </c>
      <c r="AK59" s="152">
        <v>0</v>
      </c>
      <c r="AL59" s="152">
        <v>0</v>
      </c>
      <c r="AM59" s="152">
        <v>0</v>
      </c>
    </row>
    <row r="60" spans="1:39" ht="12.9" customHeight="1">
      <c r="A60" s="260"/>
      <c r="B60" s="269" t="s">
        <v>968</v>
      </c>
      <c r="E60" t="s">
        <v>35</v>
      </c>
      <c r="G60" s="269" t="s">
        <v>969</v>
      </c>
      <c r="H60" s="269" t="s">
        <v>970</v>
      </c>
      <c r="I60" s="269" t="s">
        <v>971</v>
      </c>
      <c r="J60" s="88">
        <f>Kalk!AH30</f>
        <v>0</v>
      </c>
      <c r="K60" s="150" t="str">
        <f ca="1">IF($B59=1,SUM(AG63:AM63),"")</f>
        <v/>
      </c>
      <c r="L60" s="150">
        <v>0</v>
      </c>
      <c r="M60" s="151">
        <v>0</v>
      </c>
      <c r="N60" s="151">
        <v>0</v>
      </c>
      <c r="O60" s="151">
        <v>0</v>
      </c>
      <c r="P60" s="152">
        <v>0</v>
      </c>
      <c r="Q60" s="152">
        <v>0</v>
      </c>
      <c r="R60" s="152">
        <v>0</v>
      </c>
      <c r="S60" s="150">
        <v>0</v>
      </c>
      <c r="T60" s="151">
        <v>0</v>
      </c>
      <c r="U60" s="151">
        <v>0</v>
      </c>
      <c r="V60" s="151">
        <v>0</v>
      </c>
      <c r="W60" s="152">
        <v>0</v>
      </c>
      <c r="X60" s="152">
        <v>0</v>
      </c>
      <c r="Y60" s="152">
        <v>0</v>
      </c>
      <c r="Z60" s="150">
        <v>0</v>
      </c>
      <c r="AA60" s="151">
        <v>0</v>
      </c>
      <c r="AB60" s="151">
        <v>0</v>
      </c>
      <c r="AC60" s="151">
        <v>0</v>
      </c>
      <c r="AD60" s="152">
        <v>0</v>
      </c>
      <c r="AE60" s="152">
        <v>0</v>
      </c>
      <c r="AF60" s="152">
        <v>0</v>
      </c>
      <c r="AG60" s="150">
        <v>0</v>
      </c>
      <c r="AH60" s="151">
        <v>0</v>
      </c>
      <c r="AI60" s="151">
        <v>0</v>
      </c>
      <c r="AJ60" s="151">
        <v>0</v>
      </c>
      <c r="AK60" s="152">
        <v>0</v>
      </c>
      <c r="AL60" s="152">
        <v>0</v>
      </c>
      <c r="AM60" s="152">
        <v>0</v>
      </c>
    </row>
    <row r="61" spans="1:39" ht="13.2">
      <c r="A61" s="260"/>
      <c r="B61" s="269"/>
      <c r="C61" s="155"/>
      <c r="D61" s="155"/>
      <c r="F61" s="156"/>
      <c r="G61" s="269"/>
      <c r="H61" s="269"/>
      <c r="I61" s="269"/>
      <c r="J61" s="6"/>
      <c r="K61" s="157"/>
      <c r="L61" s="150">
        <v>0</v>
      </c>
      <c r="M61" s="151">
        <v>0</v>
      </c>
      <c r="N61" s="151">
        <v>0</v>
      </c>
      <c r="O61" s="151">
        <v>0</v>
      </c>
      <c r="P61" s="152">
        <v>0</v>
      </c>
      <c r="Q61" s="152">
        <v>0</v>
      </c>
      <c r="R61" s="152">
        <v>0</v>
      </c>
      <c r="S61" s="150">
        <v>0</v>
      </c>
      <c r="T61" s="151">
        <v>0</v>
      </c>
      <c r="U61" s="151">
        <v>0</v>
      </c>
      <c r="V61" s="151">
        <v>0</v>
      </c>
      <c r="W61" s="152">
        <v>0</v>
      </c>
      <c r="X61" s="152">
        <v>0</v>
      </c>
      <c r="Y61" s="152">
        <v>0</v>
      </c>
      <c r="Z61" s="150">
        <v>0</v>
      </c>
      <c r="AA61" s="151">
        <v>0</v>
      </c>
      <c r="AB61" s="151">
        <v>0</v>
      </c>
      <c r="AC61" s="151">
        <v>0</v>
      </c>
      <c r="AD61" s="152">
        <v>0</v>
      </c>
      <c r="AE61" s="152">
        <v>0</v>
      </c>
      <c r="AF61" s="152">
        <v>0</v>
      </c>
      <c r="AG61" s="150">
        <v>0</v>
      </c>
      <c r="AH61" s="151">
        <v>0</v>
      </c>
      <c r="AI61" s="151">
        <v>0</v>
      </c>
      <c r="AJ61" s="151">
        <v>0</v>
      </c>
      <c r="AK61" s="152">
        <v>0</v>
      </c>
      <c r="AL61" s="152">
        <v>0</v>
      </c>
      <c r="AM61" s="152">
        <v>0</v>
      </c>
    </row>
    <row r="62" spans="1:39" ht="13.2">
      <c r="A62" s="260"/>
      <c r="B62" s="158">
        <f ca="1">Kalk!J27</f>
        <v>3.7599999999999998E-4</v>
      </c>
      <c r="C62" s="123"/>
      <c r="D62" s="123"/>
      <c r="E62" s="159"/>
      <c r="F62" s="6"/>
      <c r="G62" s="88">
        <f>IF(Kalk!B3="Die cut",1,0)</f>
        <v>0</v>
      </c>
      <c r="H62" s="88">
        <f ca="1">IF((G58-E58-14)/2&lt;=240,1,0)</f>
        <v>1</v>
      </c>
      <c r="I62" s="154">
        <f>Kalk!W27</f>
        <v>0</v>
      </c>
      <c r="J62" s="160"/>
      <c r="K62" s="161"/>
      <c r="L62" s="162">
        <v>0</v>
      </c>
      <c r="M62" s="163">
        <v>0</v>
      </c>
      <c r="N62" s="163">
        <v>0</v>
      </c>
      <c r="O62" s="163">
        <v>0</v>
      </c>
      <c r="P62" s="164">
        <v>0</v>
      </c>
      <c r="Q62" s="164">
        <v>0</v>
      </c>
      <c r="R62" s="164">
        <v>0</v>
      </c>
      <c r="S62" s="162">
        <v>0</v>
      </c>
      <c r="T62" s="163">
        <v>0</v>
      </c>
      <c r="U62" s="163">
        <v>0</v>
      </c>
      <c r="V62" s="163">
        <v>0</v>
      </c>
      <c r="W62" s="164">
        <v>0</v>
      </c>
      <c r="X62" s="164">
        <v>0</v>
      </c>
      <c r="Y62" s="164">
        <v>0</v>
      </c>
      <c r="Z62" s="162">
        <v>0</v>
      </c>
      <c r="AA62" s="163">
        <v>0</v>
      </c>
      <c r="AB62" s="163">
        <v>0</v>
      </c>
      <c r="AC62" s="163">
        <v>0</v>
      </c>
      <c r="AD62" s="164">
        <v>0</v>
      </c>
      <c r="AE62" s="164">
        <v>0</v>
      </c>
      <c r="AF62" s="164">
        <v>0</v>
      </c>
      <c r="AG62" s="162">
        <v>0</v>
      </c>
      <c r="AH62" s="163">
        <v>0</v>
      </c>
      <c r="AI62" s="163">
        <v>0</v>
      </c>
      <c r="AJ62" s="163">
        <v>0</v>
      </c>
      <c r="AK62" s="164">
        <v>0</v>
      </c>
      <c r="AL62" s="164">
        <v>0</v>
      </c>
      <c r="AM62" s="164">
        <v>0</v>
      </c>
    </row>
    <row r="63" spans="1:39" ht="13.2">
      <c r="A63" s="260"/>
      <c r="B63" s="158"/>
      <c r="C63" s="123"/>
      <c r="D63" s="123"/>
      <c r="E63" s="159"/>
      <c r="F63" s="6"/>
      <c r="G63" s="6"/>
      <c r="H63" s="6"/>
      <c r="I63" s="154"/>
      <c r="J63" s="160"/>
      <c r="K63" s="161"/>
      <c r="L63" s="165">
        <f t="shared" ref="L63:AB63" si="12">SUM(L57:L62)</f>
        <v>0</v>
      </c>
      <c r="M63" s="88">
        <f t="shared" si="12"/>
        <v>0</v>
      </c>
      <c r="N63" s="88">
        <f t="shared" si="12"/>
        <v>0</v>
      </c>
      <c r="O63" s="88">
        <f t="shared" si="12"/>
        <v>0</v>
      </c>
      <c r="P63" s="88">
        <f t="shared" si="12"/>
        <v>0</v>
      </c>
      <c r="Q63" s="88">
        <f t="shared" si="12"/>
        <v>0</v>
      </c>
      <c r="R63" s="88">
        <f t="shared" si="12"/>
        <v>0</v>
      </c>
      <c r="S63" s="88">
        <f t="shared" si="12"/>
        <v>0</v>
      </c>
      <c r="T63" s="88">
        <f t="shared" si="12"/>
        <v>0</v>
      </c>
      <c r="U63" s="88">
        <f t="shared" si="12"/>
        <v>0</v>
      </c>
      <c r="V63" s="88">
        <f t="shared" si="12"/>
        <v>0</v>
      </c>
      <c r="W63" s="88">
        <f t="shared" si="12"/>
        <v>0</v>
      </c>
      <c r="X63" s="88">
        <f t="shared" si="12"/>
        <v>0</v>
      </c>
      <c r="Y63" s="88">
        <f t="shared" si="12"/>
        <v>0</v>
      </c>
      <c r="Z63" s="88">
        <f t="shared" si="12"/>
        <v>0</v>
      </c>
      <c r="AA63" s="88">
        <f t="shared" si="12"/>
        <v>0</v>
      </c>
      <c r="AB63" s="88">
        <f t="shared" si="12"/>
        <v>0</v>
      </c>
      <c r="AC63" s="88">
        <f>SUM(AB57:AB62)</f>
        <v>0</v>
      </c>
      <c r="AD63" s="88">
        <f t="shared" ref="AD63:AM63" si="13">SUM(AD57:AD62)</f>
        <v>0</v>
      </c>
      <c r="AE63" s="88">
        <f t="shared" si="13"/>
        <v>0</v>
      </c>
      <c r="AF63" s="88">
        <f t="shared" si="13"/>
        <v>0</v>
      </c>
      <c r="AG63" s="88">
        <f t="shared" si="13"/>
        <v>0</v>
      </c>
      <c r="AH63" s="88">
        <f t="shared" si="13"/>
        <v>0</v>
      </c>
      <c r="AI63" s="88">
        <f t="shared" si="13"/>
        <v>0</v>
      </c>
      <c r="AJ63" s="88">
        <f t="shared" si="13"/>
        <v>0</v>
      </c>
      <c r="AK63" s="88">
        <f t="shared" si="13"/>
        <v>0</v>
      </c>
      <c r="AL63" s="88">
        <f t="shared" si="13"/>
        <v>0</v>
      </c>
      <c r="AM63" s="88">
        <f t="shared" si="13"/>
        <v>0</v>
      </c>
    </row>
    <row r="64" spans="1:39" ht="13.2">
      <c r="A64" s="260"/>
      <c r="B64" s="123"/>
      <c r="C64" s="123"/>
      <c r="D64" s="123"/>
      <c r="E64" s="168"/>
      <c r="F64" s="166"/>
      <c r="G64" s="166"/>
      <c r="H64" s="166"/>
      <c r="I64" s="169"/>
      <c r="J64" s="166"/>
    </row>
    <row r="65" spans="1:39" ht="13.2">
      <c r="B65" s="167"/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  <c r="L65" s="110" t="s">
        <v>957</v>
      </c>
      <c r="M65" s="116" t="s">
        <v>958</v>
      </c>
      <c r="N65" s="116" t="s">
        <v>959</v>
      </c>
      <c r="O65" s="116" t="s">
        <v>960</v>
      </c>
      <c r="P65" s="146" t="s">
        <v>958</v>
      </c>
      <c r="Q65" s="146" t="s">
        <v>959</v>
      </c>
      <c r="R65" s="146" t="s">
        <v>960</v>
      </c>
      <c r="S65" s="110" t="s">
        <v>957</v>
      </c>
      <c r="T65" s="116" t="s">
        <v>958</v>
      </c>
      <c r="U65" s="116" t="s">
        <v>959</v>
      </c>
      <c r="V65" s="116" t="s">
        <v>960</v>
      </c>
      <c r="W65" s="146" t="s">
        <v>958</v>
      </c>
      <c r="X65" s="146" t="s">
        <v>959</v>
      </c>
      <c r="Y65" s="146" t="s">
        <v>960</v>
      </c>
      <c r="Z65" s="110" t="s">
        <v>957</v>
      </c>
      <c r="AA65" s="116" t="s">
        <v>958</v>
      </c>
      <c r="AB65" s="116" t="s">
        <v>959</v>
      </c>
      <c r="AC65" s="116" t="s">
        <v>960</v>
      </c>
      <c r="AD65" s="146" t="s">
        <v>958</v>
      </c>
      <c r="AE65" s="146" t="s">
        <v>959</v>
      </c>
      <c r="AF65" s="146" t="s">
        <v>960</v>
      </c>
      <c r="AG65" s="110" t="s">
        <v>957</v>
      </c>
      <c r="AH65" s="116" t="s">
        <v>958</v>
      </c>
      <c r="AI65" s="116" t="s">
        <v>959</v>
      </c>
      <c r="AJ65" s="116" t="s">
        <v>960</v>
      </c>
      <c r="AK65" s="146" t="s">
        <v>958</v>
      </c>
      <c r="AL65" s="146" t="s">
        <v>959</v>
      </c>
      <c r="AM65" s="146" t="s">
        <v>960</v>
      </c>
    </row>
    <row r="66" spans="1:39" ht="13.35" customHeight="1">
      <c r="A66" s="260">
        <v>8</v>
      </c>
      <c r="B66" s="267" t="s">
        <v>962</v>
      </c>
      <c r="C66" s="147" t="s">
        <v>56</v>
      </c>
      <c r="D66" s="147" t="s">
        <v>57</v>
      </c>
      <c r="E66" s="147" t="s">
        <v>66</v>
      </c>
      <c r="F66" s="268" t="s">
        <v>963</v>
      </c>
      <c r="G66" s="268"/>
      <c r="H66" s="148" t="s">
        <v>964</v>
      </c>
      <c r="I66" s="269" t="s">
        <v>965</v>
      </c>
      <c r="J66" s="88">
        <f>Kalk!AH31</f>
        <v>0</v>
      </c>
      <c r="K66" s="150" t="str">
        <f>IF($B68=1,SUM(L72:R72),"")</f>
        <v/>
      </c>
      <c r="L66" s="150">
        <v>0</v>
      </c>
      <c r="M66" s="151">
        <v>0</v>
      </c>
      <c r="N66" s="151">
        <v>0</v>
      </c>
      <c r="O66" s="151">
        <v>0</v>
      </c>
      <c r="P66" s="152">
        <v>0</v>
      </c>
      <c r="Q66" s="152">
        <v>0</v>
      </c>
      <c r="R66" s="152">
        <v>0</v>
      </c>
      <c r="S66" s="150">
        <v>0</v>
      </c>
      <c r="T66" s="151">
        <v>0</v>
      </c>
      <c r="U66" s="151">
        <v>0</v>
      </c>
      <c r="V66" s="151">
        <v>0</v>
      </c>
      <c r="W66" s="152">
        <v>0</v>
      </c>
      <c r="X66" s="152">
        <v>0</v>
      </c>
      <c r="Y66" s="152">
        <v>0</v>
      </c>
      <c r="Z66" s="150">
        <v>0</v>
      </c>
      <c r="AA66" s="151">
        <v>0</v>
      </c>
      <c r="AB66" s="151">
        <v>0</v>
      </c>
      <c r="AC66" s="151">
        <v>0</v>
      </c>
      <c r="AD66" s="152">
        <v>0</v>
      </c>
      <c r="AE66" s="152">
        <v>0</v>
      </c>
      <c r="AF66" s="152">
        <v>0</v>
      </c>
      <c r="AG66" s="150">
        <v>0</v>
      </c>
      <c r="AH66" s="151">
        <v>0</v>
      </c>
      <c r="AI66" s="151">
        <v>0</v>
      </c>
      <c r="AJ66" s="151">
        <v>0</v>
      </c>
      <c r="AK66" s="152">
        <v>0</v>
      </c>
      <c r="AL66" s="152">
        <v>0</v>
      </c>
      <c r="AM66" s="152">
        <v>0</v>
      </c>
    </row>
    <row r="67" spans="1:39" ht="13.2">
      <c r="A67" s="260"/>
      <c r="B67" s="267"/>
      <c r="C67" s="147">
        <f>Kalk!C32</f>
        <v>0</v>
      </c>
      <c r="D67" s="147">
        <f>Kalk!E32</f>
        <v>0</v>
      </c>
      <c r="E67" s="147">
        <f>Kalk!G32</f>
        <v>0</v>
      </c>
      <c r="F67" s="147">
        <f ca="1">Kalk!I32</f>
        <v>47</v>
      </c>
      <c r="G67" s="147">
        <f ca="1">Kalk!I34</f>
        <v>8</v>
      </c>
      <c r="H67" s="147" t="str">
        <f>Kalk!B32</f>
        <v>F0201</v>
      </c>
      <c r="I67" s="269"/>
      <c r="J67" s="88">
        <f>Kalk!AH32</f>
        <v>0</v>
      </c>
      <c r="K67" s="150" t="str">
        <f>IF($B68=1,SUM(S72:Y72),"")</f>
        <v/>
      </c>
      <c r="L67" s="150">
        <v>0</v>
      </c>
      <c r="M67" s="151">
        <v>0</v>
      </c>
      <c r="N67" s="151">
        <v>0</v>
      </c>
      <c r="O67" s="151">
        <v>0</v>
      </c>
      <c r="P67" s="152">
        <v>0</v>
      </c>
      <c r="Q67" s="152">
        <v>0</v>
      </c>
      <c r="R67" s="152">
        <v>0</v>
      </c>
      <c r="S67" s="150">
        <v>0</v>
      </c>
      <c r="T67" s="151">
        <v>0</v>
      </c>
      <c r="U67" s="151">
        <v>0</v>
      </c>
      <c r="V67" s="151">
        <v>0</v>
      </c>
      <c r="W67" s="152">
        <v>0</v>
      </c>
      <c r="X67" s="152">
        <v>0</v>
      </c>
      <c r="Y67" s="152">
        <v>0</v>
      </c>
      <c r="Z67" s="150">
        <v>0</v>
      </c>
      <c r="AA67" s="151">
        <v>0</v>
      </c>
      <c r="AB67" s="151">
        <v>0</v>
      </c>
      <c r="AC67" s="151">
        <v>0</v>
      </c>
      <c r="AD67" s="152">
        <v>0</v>
      </c>
      <c r="AE67" s="152">
        <v>0</v>
      </c>
      <c r="AF67" s="152">
        <v>0</v>
      </c>
      <c r="AG67" s="150">
        <v>0</v>
      </c>
      <c r="AH67" s="151">
        <v>0</v>
      </c>
      <c r="AI67" s="151">
        <v>0</v>
      </c>
      <c r="AJ67" s="151">
        <v>0</v>
      </c>
      <c r="AK67" s="152">
        <v>0</v>
      </c>
      <c r="AL67" s="152">
        <v>0</v>
      </c>
      <c r="AM67" s="152">
        <v>0</v>
      </c>
    </row>
    <row r="68" spans="1:39" ht="13.2">
      <c r="A68" s="260"/>
      <c r="B68" s="153">
        <f>IF(SUM(C95:H95)+H98=7,1,0)</f>
        <v>0</v>
      </c>
      <c r="C68" s="88">
        <f>IF((C94&gt;132)*AND(C94&lt;941),1,0)</f>
        <v>0</v>
      </c>
      <c r="D68" s="88">
        <f>IF((D94&gt;=132)*AND(D94&lt;481),1,0)</f>
        <v>0</v>
      </c>
      <c r="E68" s="88">
        <f>IF((E94&gt;89)*AND(E94&lt;481),1,0)</f>
        <v>0</v>
      </c>
      <c r="F68" s="88">
        <f>IF((F94&gt;547)*AND(F94&lt;=2180),1,0)</f>
        <v>0</v>
      </c>
      <c r="G68" s="88">
        <f>IF((G94&gt;263)*AND(G94&lt;891),1,0)</f>
        <v>0</v>
      </c>
      <c r="H68" s="88">
        <f>IF(OR(H94="F0200",H94="F0201",H94="F0202",H94="F0203",H94="F0201-F0203",H94="F0200-F0203",H94="F0501"),1,0)</f>
        <v>0</v>
      </c>
      <c r="I68" s="154">
        <f>Kalk!M66</f>
        <v>0</v>
      </c>
      <c r="J68" s="88">
        <f>Kalk!AH33</f>
        <v>0</v>
      </c>
      <c r="K68" s="150" t="str">
        <f>IF($B68=1,SUM(Z72:AF72),"")</f>
        <v/>
      </c>
      <c r="L68" s="150">
        <v>0</v>
      </c>
      <c r="M68" s="151">
        <v>0</v>
      </c>
      <c r="N68" s="151">
        <v>0</v>
      </c>
      <c r="O68" s="151">
        <v>0</v>
      </c>
      <c r="P68" s="152">
        <v>0</v>
      </c>
      <c r="Q68" s="152">
        <v>0</v>
      </c>
      <c r="R68" s="152">
        <v>0</v>
      </c>
      <c r="S68" s="150">
        <v>0</v>
      </c>
      <c r="T68" s="151">
        <v>0</v>
      </c>
      <c r="U68" s="151">
        <v>0</v>
      </c>
      <c r="V68" s="151">
        <v>0</v>
      </c>
      <c r="W68" s="152">
        <v>0</v>
      </c>
      <c r="X68" s="152">
        <v>0</v>
      </c>
      <c r="Y68" s="152">
        <v>0</v>
      </c>
      <c r="Z68" s="150">
        <v>0</v>
      </c>
      <c r="AA68" s="151">
        <v>0</v>
      </c>
      <c r="AB68" s="151">
        <v>0</v>
      </c>
      <c r="AC68" s="151">
        <v>0</v>
      </c>
      <c r="AD68" s="152">
        <v>0</v>
      </c>
      <c r="AE68" s="152">
        <v>0</v>
      </c>
      <c r="AF68" s="152">
        <v>0</v>
      </c>
      <c r="AG68" s="150">
        <v>0</v>
      </c>
      <c r="AH68" s="151">
        <v>0</v>
      </c>
      <c r="AI68" s="151">
        <v>0</v>
      </c>
      <c r="AJ68" s="151">
        <v>0</v>
      </c>
      <c r="AK68" s="152">
        <v>0</v>
      </c>
      <c r="AL68" s="152">
        <v>0</v>
      </c>
      <c r="AM68" s="152">
        <v>0</v>
      </c>
    </row>
    <row r="69" spans="1:39" ht="12.9" customHeight="1">
      <c r="A69" s="260"/>
      <c r="B69" s="269" t="s">
        <v>968</v>
      </c>
      <c r="E69" t="s">
        <v>35</v>
      </c>
      <c r="G69" s="269" t="s">
        <v>969</v>
      </c>
      <c r="H69" s="269" t="s">
        <v>970</v>
      </c>
      <c r="I69" s="269" t="s">
        <v>971</v>
      </c>
      <c r="J69" s="88">
        <f>Kalk!AH34</f>
        <v>0</v>
      </c>
      <c r="K69" s="150" t="str">
        <f>IF($B68=1,SUM(AG72:AM72),"")</f>
        <v/>
      </c>
      <c r="L69" s="150">
        <v>0</v>
      </c>
      <c r="M69" s="151">
        <v>0</v>
      </c>
      <c r="N69" s="151">
        <v>0</v>
      </c>
      <c r="O69" s="151">
        <v>0</v>
      </c>
      <c r="P69" s="152">
        <v>0</v>
      </c>
      <c r="Q69" s="152">
        <v>0</v>
      </c>
      <c r="R69" s="152">
        <v>0</v>
      </c>
      <c r="S69" s="150">
        <v>0</v>
      </c>
      <c r="T69" s="151">
        <v>0</v>
      </c>
      <c r="U69" s="151">
        <v>0</v>
      </c>
      <c r="V69" s="151">
        <v>0</v>
      </c>
      <c r="W69" s="152">
        <v>0</v>
      </c>
      <c r="X69" s="152">
        <v>0</v>
      </c>
      <c r="Y69" s="152">
        <v>0</v>
      </c>
      <c r="Z69" s="150">
        <v>0</v>
      </c>
      <c r="AA69" s="151">
        <v>0</v>
      </c>
      <c r="AB69" s="151">
        <v>0</v>
      </c>
      <c r="AC69" s="151">
        <v>0</v>
      </c>
      <c r="AD69" s="152">
        <v>0</v>
      </c>
      <c r="AE69" s="152">
        <v>0</v>
      </c>
      <c r="AF69" s="152">
        <v>0</v>
      </c>
      <c r="AG69" s="150">
        <v>0</v>
      </c>
      <c r="AH69" s="151">
        <v>0</v>
      </c>
      <c r="AI69" s="151">
        <v>0</v>
      </c>
      <c r="AJ69" s="151">
        <v>0</v>
      </c>
      <c r="AK69" s="152">
        <v>0</v>
      </c>
      <c r="AL69" s="152">
        <v>0</v>
      </c>
      <c r="AM69" s="152">
        <v>0</v>
      </c>
    </row>
    <row r="70" spans="1:39" ht="13.2">
      <c r="A70" s="260"/>
      <c r="B70" s="269"/>
      <c r="C70" s="155"/>
      <c r="D70" s="155"/>
      <c r="F70" s="156"/>
      <c r="G70" s="269"/>
      <c r="H70" s="269"/>
      <c r="I70" s="269"/>
      <c r="J70" s="6"/>
      <c r="K70" s="157"/>
      <c r="L70" s="150">
        <v>0</v>
      </c>
      <c r="M70" s="151">
        <v>0</v>
      </c>
      <c r="N70" s="151">
        <v>0</v>
      </c>
      <c r="O70" s="151">
        <v>0</v>
      </c>
      <c r="P70" s="152">
        <v>0</v>
      </c>
      <c r="Q70" s="152">
        <v>0</v>
      </c>
      <c r="R70" s="152">
        <v>0</v>
      </c>
      <c r="S70" s="150">
        <v>0</v>
      </c>
      <c r="T70" s="151">
        <v>0</v>
      </c>
      <c r="U70" s="151">
        <v>0</v>
      </c>
      <c r="V70" s="151">
        <v>0</v>
      </c>
      <c r="W70" s="152">
        <v>0</v>
      </c>
      <c r="X70" s="152">
        <v>0</v>
      </c>
      <c r="Y70" s="152">
        <v>0</v>
      </c>
      <c r="Z70" s="150">
        <v>0</v>
      </c>
      <c r="AA70" s="151">
        <v>0</v>
      </c>
      <c r="AB70" s="151">
        <v>0</v>
      </c>
      <c r="AC70" s="151">
        <v>0</v>
      </c>
      <c r="AD70" s="152">
        <v>0</v>
      </c>
      <c r="AE70" s="152">
        <v>0</v>
      </c>
      <c r="AF70" s="152">
        <v>0</v>
      </c>
      <c r="AG70" s="150">
        <v>0</v>
      </c>
      <c r="AH70" s="151">
        <v>0</v>
      </c>
      <c r="AI70" s="151">
        <v>0</v>
      </c>
      <c r="AJ70" s="151">
        <v>0</v>
      </c>
      <c r="AK70" s="152">
        <v>0</v>
      </c>
      <c r="AL70" s="152">
        <v>0</v>
      </c>
      <c r="AM70" s="152">
        <v>0</v>
      </c>
    </row>
    <row r="71" spans="1:39" ht="13.2">
      <c r="A71" s="260"/>
      <c r="B71" s="158">
        <f ca="1">Kalk!J31</f>
        <v>3.7599999999999998E-4</v>
      </c>
      <c r="C71" s="123"/>
      <c r="D71" s="123"/>
      <c r="E71" s="159"/>
      <c r="F71" s="6"/>
      <c r="G71" s="88">
        <f>IF(Kalk!B3="Die cut",1,0)</f>
        <v>0</v>
      </c>
      <c r="H71" s="88">
        <f ca="1">IF((G67-E67-14)/2&lt;=240,1,0)</f>
        <v>1</v>
      </c>
      <c r="I71" s="154">
        <f>Kalk!W31</f>
        <v>0</v>
      </c>
      <c r="J71" s="160"/>
      <c r="K71" s="161"/>
      <c r="L71" s="162">
        <v>0</v>
      </c>
      <c r="M71" s="163">
        <v>0</v>
      </c>
      <c r="N71" s="163">
        <v>0</v>
      </c>
      <c r="O71" s="163">
        <v>0</v>
      </c>
      <c r="P71" s="164">
        <v>0</v>
      </c>
      <c r="Q71" s="164">
        <v>0</v>
      </c>
      <c r="R71" s="164">
        <v>0</v>
      </c>
      <c r="S71" s="162">
        <v>0</v>
      </c>
      <c r="T71" s="163">
        <v>0</v>
      </c>
      <c r="U71" s="163">
        <v>0</v>
      </c>
      <c r="V71" s="163">
        <v>0</v>
      </c>
      <c r="W71" s="164">
        <v>0</v>
      </c>
      <c r="X71" s="164">
        <v>0</v>
      </c>
      <c r="Y71" s="164">
        <v>0</v>
      </c>
      <c r="Z71" s="162">
        <v>0</v>
      </c>
      <c r="AA71" s="163">
        <v>0</v>
      </c>
      <c r="AB71" s="163">
        <v>0</v>
      </c>
      <c r="AC71" s="163">
        <v>0</v>
      </c>
      <c r="AD71" s="164">
        <v>0</v>
      </c>
      <c r="AE71" s="164">
        <v>0</v>
      </c>
      <c r="AF71" s="164">
        <v>0</v>
      </c>
      <c r="AG71" s="162">
        <v>0</v>
      </c>
      <c r="AH71" s="163">
        <v>0</v>
      </c>
      <c r="AI71" s="163">
        <v>0</v>
      </c>
      <c r="AJ71" s="163">
        <v>0</v>
      </c>
      <c r="AK71" s="164">
        <v>0</v>
      </c>
      <c r="AL71" s="164">
        <v>0</v>
      </c>
      <c r="AM71" s="164">
        <v>0</v>
      </c>
    </row>
    <row r="72" spans="1:39" ht="13.2">
      <c r="A72" s="260"/>
      <c r="B72" s="158"/>
      <c r="C72" s="123"/>
      <c r="D72" s="123"/>
      <c r="E72" s="159"/>
      <c r="F72" s="6"/>
      <c r="G72" s="6"/>
      <c r="H72" s="6"/>
      <c r="I72" s="154"/>
      <c r="J72" s="160"/>
      <c r="K72" s="161"/>
      <c r="L72" s="165">
        <f t="shared" ref="L72:AB72" si="14">SUM(L66:L71)</f>
        <v>0</v>
      </c>
      <c r="M72" s="88">
        <f t="shared" si="14"/>
        <v>0</v>
      </c>
      <c r="N72" s="88">
        <f t="shared" si="14"/>
        <v>0</v>
      </c>
      <c r="O72" s="88">
        <f t="shared" si="14"/>
        <v>0</v>
      </c>
      <c r="P72" s="88">
        <f t="shared" si="14"/>
        <v>0</v>
      </c>
      <c r="Q72" s="88">
        <f t="shared" si="14"/>
        <v>0</v>
      </c>
      <c r="R72" s="88">
        <f t="shared" si="14"/>
        <v>0</v>
      </c>
      <c r="S72" s="88">
        <f t="shared" si="14"/>
        <v>0</v>
      </c>
      <c r="T72" s="88">
        <f t="shared" si="14"/>
        <v>0</v>
      </c>
      <c r="U72" s="88">
        <f t="shared" si="14"/>
        <v>0</v>
      </c>
      <c r="V72" s="88">
        <f t="shared" si="14"/>
        <v>0</v>
      </c>
      <c r="W72" s="88">
        <f t="shared" si="14"/>
        <v>0</v>
      </c>
      <c r="X72" s="88">
        <f t="shared" si="14"/>
        <v>0</v>
      </c>
      <c r="Y72" s="88">
        <f t="shared" si="14"/>
        <v>0</v>
      </c>
      <c r="Z72" s="88">
        <f t="shared" si="14"/>
        <v>0</v>
      </c>
      <c r="AA72" s="88">
        <f t="shared" si="14"/>
        <v>0</v>
      </c>
      <c r="AB72" s="88">
        <f t="shared" si="14"/>
        <v>0</v>
      </c>
      <c r="AC72" s="88">
        <f>SUM(AB66:AB71)</f>
        <v>0</v>
      </c>
      <c r="AD72" s="88">
        <f t="shared" ref="AD72:AM72" si="15">SUM(AD66:AD71)</f>
        <v>0</v>
      </c>
      <c r="AE72" s="88">
        <f t="shared" si="15"/>
        <v>0</v>
      </c>
      <c r="AF72" s="88">
        <f t="shared" si="15"/>
        <v>0</v>
      </c>
      <c r="AG72" s="88">
        <f t="shared" si="15"/>
        <v>0</v>
      </c>
      <c r="AH72" s="88">
        <f t="shared" si="15"/>
        <v>0</v>
      </c>
      <c r="AI72" s="88">
        <f t="shared" si="15"/>
        <v>0</v>
      </c>
      <c r="AJ72" s="88">
        <f t="shared" si="15"/>
        <v>0</v>
      </c>
      <c r="AK72" s="88">
        <f t="shared" si="15"/>
        <v>0</v>
      </c>
      <c r="AL72" s="88">
        <f t="shared" si="15"/>
        <v>0</v>
      </c>
      <c r="AM72" s="88">
        <f t="shared" si="15"/>
        <v>0</v>
      </c>
    </row>
    <row r="73" spans="1:39" ht="13.2">
      <c r="A73" s="260"/>
      <c r="B73" s="123"/>
      <c r="C73" s="123"/>
      <c r="D73" s="123"/>
      <c r="E73" s="168"/>
      <c r="F73" s="166"/>
      <c r="G73" s="166"/>
      <c r="H73" s="166"/>
      <c r="I73" s="169"/>
      <c r="J73" s="166"/>
    </row>
    <row r="74" spans="1:39" ht="13.2">
      <c r="B74" s="167"/>
      <c r="C74" s="167"/>
      <c r="D74" s="167"/>
      <c r="E74" s="167"/>
      <c r="F74" s="167"/>
      <c r="G74" s="167"/>
      <c r="H74" s="167"/>
      <c r="I74" s="167"/>
      <c r="J74" s="88" t="s">
        <v>83</v>
      </c>
      <c r="K74" s="110" t="s">
        <v>956</v>
      </c>
      <c r="L74" s="110" t="s">
        <v>957</v>
      </c>
      <c r="M74" s="116" t="s">
        <v>958</v>
      </c>
      <c r="N74" s="116" t="s">
        <v>959</v>
      </c>
      <c r="O74" s="116" t="s">
        <v>960</v>
      </c>
      <c r="P74" s="146" t="s">
        <v>958</v>
      </c>
      <c r="Q74" s="146" t="s">
        <v>959</v>
      </c>
      <c r="R74" s="146" t="s">
        <v>960</v>
      </c>
      <c r="S74" s="110" t="s">
        <v>957</v>
      </c>
      <c r="T74" s="116" t="s">
        <v>958</v>
      </c>
      <c r="U74" s="116" t="s">
        <v>959</v>
      </c>
      <c r="V74" s="116" t="s">
        <v>960</v>
      </c>
      <c r="W74" s="146" t="s">
        <v>958</v>
      </c>
      <c r="X74" s="146" t="s">
        <v>959</v>
      </c>
      <c r="Y74" s="146" t="s">
        <v>960</v>
      </c>
      <c r="Z74" s="110" t="s">
        <v>957</v>
      </c>
      <c r="AA74" s="116" t="s">
        <v>958</v>
      </c>
      <c r="AB74" s="116" t="s">
        <v>959</v>
      </c>
      <c r="AC74" s="116" t="s">
        <v>960</v>
      </c>
      <c r="AD74" s="146" t="s">
        <v>958</v>
      </c>
      <c r="AE74" s="146" t="s">
        <v>959</v>
      </c>
      <c r="AF74" s="146" t="s">
        <v>960</v>
      </c>
      <c r="AG74" s="110" t="s">
        <v>957</v>
      </c>
      <c r="AH74" s="116" t="s">
        <v>958</v>
      </c>
      <c r="AI74" s="116" t="s">
        <v>959</v>
      </c>
      <c r="AJ74" s="116" t="s">
        <v>960</v>
      </c>
      <c r="AK74" s="146" t="s">
        <v>958</v>
      </c>
      <c r="AL74" s="146" t="s">
        <v>959</v>
      </c>
      <c r="AM74" s="146" t="s">
        <v>960</v>
      </c>
    </row>
    <row r="75" spans="1:39" ht="13.35" customHeight="1">
      <c r="A75" s="260">
        <v>9</v>
      </c>
      <c r="B75" s="267" t="s">
        <v>962</v>
      </c>
      <c r="C75" s="147" t="s">
        <v>56</v>
      </c>
      <c r="D75" s="147" t="s">
        <v>57</v>
      </c>
      <c r="E75" s="147" t="s">
        <v>66</v>
      </c>
      <c r="F75" s="268" t="s">
        <v>963</v>
      </c>
      <c r="G75" s="268"/>
      <c r="H75" s="148" t="s">
        <v>964</v>
      </c>
      <c r="I75" s="269" t="s">
        <v>965</v>
      </c>
      <c r="J75" s="88">
        <f>Kalk!AH35</f>
        <v>0</v>
      </c>
      <c r="K75" s="150" t="str">
        <f>IF($B77=1,SUM(L81:R81),"")</f>
        <v/>
      </c>
      <c r="L75" s="150">
        <v>0</v>
      </c>
      <c r="M75" s="151">
        <v>0</v>
      </c>
      <c r="N75" s="151">
        <v>0</v>
      </c>
      <c r="O75" s="151">
        <v>0</v>
      </c>
      <c r="P75" s="152">
        <v>0</v>
      </c>
      <c r="Q75" s="152">
        <v>0</v>
      </c>
      <c r="R75" s="152">
        <v>0</v>
      </c>
      <c r="S75" s="150">
        <v>0</v>
      </c>
      <c r="T75" s="151">
        <v>0</v>
      </c>
      <c r="U75" s="151">
        <v>0</v>
      </c>
      <c r="V75" s="151">
        <v>0</v>
      </c>
      <c r="W75" s="152">
        <v>0</v>
      </c>
      <c r="X75" s="152">
        <v>0</v>
      </c>
      <c r="Y75" s="152">
        <v>0</v>
      </c>
      <c r="Z75" s="150">
        <v>0</v>
      </c>
      <c r="AA75" s="151">
        <v>0</v>
      </c>
      <c r="AB75" s="151">
        <v>0</v>
      </c>
      <c r="AC75" s="151">
        <v>0</v>
      </c>
      <c r="AD75" s="152">
        <v>0</v>
      </c>
      <c r="AE75" s="152">
        <v>0</v>
      </c>
      <c r="AF75" s="152">
        <v>0</v>
      </c>
      <c r="AG75" s="150">
        <v>0</v>
      </c>
      <c r="AH75" s="151">
        <v>0</v>
      </c>
      <c r="AI75" s="151">
        <v>0</v>
      </c>
      <c r="AJ75" s="151">
        <v>0</v>
      </c>
      <c r="AK75" s="152">
        <v>0</v>
      </c>
      <c r="AL75" s="152">
        <v>0</v>
      </c>
      <c r="AM75" s="152">
        <v>0</v>
      </c>
    </row>
    <row r="76" spans="1:39" ht="13.2">
      <c r="A76" s="260"/>
      <c r="B76" s="267"/>
      <c r="C76" s="147">
        <f>Kalk!C36</f>
        <v>0</v>
      </c>
      <c r="D76" s="147">
        <f>Kalk!E36</f>
        <v>0</v>
      </c>
      <c r="E76" s="147">
        <f>Kalk!G36</f>
        <v>0</v>
      </c>
      <c r="F76" s="147">
        <f ca="1">Kalk!I36</f>
        <v>47</v>
      </c>
      <c r="G76" s="147">
        <f ca="1">Kalk!I38</f>
        <v>8</v>
      </c>
      <c r="H76" s="147" t="str">
        <f>Kalk!B36</f>
        <v>F0201</v>
      </c>
      <c r="I76" s="269"/>
      <c r="J76" s="88">
        <f>Kalk!AH36</f>
        <v>0</v>
      </c>
      <c r="K76" s="150" t="str">
        <f>IF($B77=1,SUM(S81:Y81),"")</f>
        <v/>
      </c>
      <c r="L76" s="150">
        <v>0</v>
      </c>
      <c r="M76" s="151">
        <v>0</v>
      </c>
      <c r="N76" s="151">
        <v>0</v>
      </c>
      <c r="O76" s="151">
        <v>0</v>
      </c>
      <c r="P76" s="152">
        <v>0</v>
      </c>
      <c r="Q76" s="152">
        <v>0</v>
      </c>
      <c r="R76" s="152">
        <v>0</v>
      </c>
      <c r="S76" s="150">
        <v>0</v>
      </c>
      <c r="T76" s="151">
        <v>0</v>
      </c>
      <c r="U76" s="151">
        <v>0</v>
      </c>
      <c r="V76" s="151">
        <v>0</v>
      </c>
      <c r="W76" s="152">
        <v>0</v>
      </c>
      <c r="X76" s="152">
        <v>0</v>
      </c>
      <c r="Y76" s="152">
        <v>0</v>
      </c>
      <c r="Z76" s="150">
        <v>0</v>
      </c>
      <c r="AA76" s="151">
        <v>0</v>
      </c>
      <c r="AB76" s="151">
        <v>0</v>
      </c>
      <c r="AC76" s="151">
        <v>0</v>
      </c>
      <c r="AD76" s="152">
        <v>0</v>
      </c>
      <c r="AE76" s="152">
        <v>0</v>
      </c>
      <c r="AF76" s="152">
        <v>0</v>
      </c>
      <c r="AG76" s="150">
        <v>0</v>
      </c>
      <c r="AH76" s="151">
        <v>0</v>
      </c>
      <c r="AI76" s="151">
        <v>0</v>
      </c>
      <c r="AJ76" s="151">
        <v>0</v>
      </c>
      <c r="AK76" s="152">
        <v>0</v>
      </c>
      <c r="AL76" s="152">
        <v>0</v>
      </c>
      <c r="AM76" s="152">
        <v>0</v>
      </c>
    </row>
    <row r="77" spans="1:39" ht="13.2">
      <c r="A77" s="260"/>
      <c r="B77" s="153">
        <f>IF(SUM(C104:H104)+H107=7,1,0)</f>
        <v>0</v>
      </c>
      <c r="C77" s="88">
        <f>IF((C103&gt;132)*AND(C103&lt;941),1,0)</f>
        <v>0</v>
      </c>
      <c r="D77" s="88">
        <f>IF((D103&gt;=132)*AND(D103&lt;481),1,0)</f>
        <v>0</v>
      </c>
      <c r="E77" s="88">
        <f>IF((E103&gt;89)*AND(E103&lt;481),1,0)</f>
        <v>0</v>
      </c>
      <c r="F77" s="88">
        <f>IF((F103&gt;547)*AND(F103&lt;=2180),1,0)</f>
        <v>0</v>
      </c>
      <c r="G77" s="88">
        <f>IF((G103&gt;263)*AND(G103&lt;891),1,0)</f>
        <v>0</v>
      </c>
      <c r="H77" s="88">
        <f>IF(OR(H103="F0200",H103="F0201",H103="F0202",H103="F0203",H103="F0201-F0203",H103="F0200-F0203",H103="F0501"),1,0)</f>
        <v>0</v>
      </c>
      <c r="I77" s="154">
        <f>Kalk!M75</f>
        <v>0</v>
      </c>
      <c r="J77" s="88">
        <f>Kalk!AH37</f>
        <v>0</v>
      </c>
      <c r="K77" s="150" t="str">
        <f>IF($B77=1,SUM(Z81:AF81),"")</f>
        <v/>
      </c>
      <c r="L77" s="150">
        <v>0</v>
      </c>
      <c r="M77" s="151">
        <v>0</v>
      </c>
      <c r="N77" s="151">
        <v>0</v>
      </c>
      <c r="O77" s="151">
        <v>0</v>
      </c>
      <c r="P77" s="152">
        <v>0</v>
      </c>
      <c r="Q77" s="152">
        <v>0</v>
      </c>
      <c r="R77" s="152">
        <v>0</v>
      </c>
      <c r="S77" s="150">
        <v>0</v>
      </c>
      <c r="T77" s="151">
        <v>0</v>
      </c>
      <c r="U77" s="151">
        <v>0</v>
      </c>
      <c r="V77" s="151">
        <v>0</v>
      </c>
      <c r="W77" s="152">
        <v>0</v>
      </c>
      <c r="X77" s="152">
        <v>0</v>
      </c>
      <c r="Y77" s="152">
        <v>0</v>
      </c>
      <c r="Z77" s="150">
        <v>0</v>
      </c>
      <c r="AA77" s="151">
        <v>0</v>
      </c>
      <c r="AB77" s="151">
        <v>0</v>
      </c>
      <c r="AC77" s="151">
        <v>0</v>
      </c>
      <c r="AD77" s="152">
        <v>0</v>
      </c>
      <c r="AE77" s="152">
        <v>0</v>
      </c>
      <c r="AF77" s="152">
        <v>0</v>
      </c>
      <c r="AG77" s="150">
        <v>0</v>
      </c>
      <c r="AH77" s="151">
        <v>0</v>
      </c>
      <c r="AI77" s="151">
        <v>0</v>
      </c>
      <c r="AJ77" s="151">
        <v>0</v>
      </c>
      <c r="AK77" s="152">
        <v>0</v>
      </c>
      <c r="AL77" s="152">
        <v>0</v>
      </c>
      <c r="AM77" s="152">
        <v>0</v>
      </c>
    </row>
    <row r="78" spans="1:39" ht="12.9" customHeight="1">
      <c r="A78" s="260"/>
      <c r="B78" s="269" t="s">
        <v>968</v>
      </c>
      <c r="E78" t="s">
        <v>35</v>
      </c>
      <c r="G78" s="269" t="s">
        <v>969</v>
      </c>
      <c r="H78" s="269" t="s">
        <v>970</v>
      </c>
      <c r="I78" s="269" t="s">
        <v>971</v>
      </c>
      <c r="J78" s="88">
        <f>Kalk!AH38</f>
        <v>0</v>
      </c>
      <c r="K78" s="150" t="str">
        <f>IF($B77=1,SUM(AG81:AM81),"")</f>
        <v/>
      </c>
      <c r="L78" s="150">
        <v>0</v>
      </c>
      <c r="M78" s="151">
        <v>0</v>
      </c>
      <c r="N78" s="151">
        <v>0</v>
      </c>
      <c r="O78" s="151">
        <v>0</v>
      </c>
      <c r="P78" s="152">
        <v>0</v>
      </c>
      <c r="Q78" s="152">
        <v>0</v>
      </c>
      <c r="R78" s="152">
        <v>0</v>
      </c>
      <c r="S78" s="150">
        <v>0</v>
      </c>
      <c r="T78" s="151">
        <v>0</v>
      </c>
      <c r="U78" s="151">
        <v>0</v>
      </c>
      <c r="V78" s="151">
        <v>0</v>
      </c>
      <c r="W78" s="152">
        <v>0</v>
      </c>
      <c r="X78" s="152">
        <v>0</v>
      </c>
      <c r="Y78" s="152">
        <v>0</v>
      </c>
      <c r="Z78" s="150">
        <v>0</v>
      </c>
      <c r="AA78" s="151">
        <v>0</v>
      </c>
      <c r="AB78" s="151">
        <v>0</v>
      </c>
      <c r="AC78" s="151">
        <v>0</v>
      </c>
      <c r="AD78" s="152">
        <v>0</v>
      </c>
      <c r="AE78" s="152">
        <v>0</v>
      </c>
      <c r="AF78" s="152">
        <v>0</v>
      </c>
      <c r="AG78" s="150">
        <v>0</v>
      </c>
      <c r="AH78" s="151">
        <v>0</v>
      </c>
      <c r="AI78" s="151">
        <v>0</v>
      </c>
      <c r="AJ78" s="151">
        <v>0</v>
      </c>
      <c r="AK78" s="152">
        <v>0</v>
      </c>
      <c r="AL78" s="152">
        <v>0</v>
      </c>
      <c r="AM78" s="152">
        <v>0</v>
      </c>
    </row>
    <row r="79" spans="1:39" ht="13.2">
      <c r="A79" s="260"/>
      <c r="B79" s="269"/>
      <c r="C79" s="155"/>
      <c r="D79" s="155"/>
      <c r="F79" s="156"/>
      <c r="G79" s="269"/>
      <c r="H79" s="269"/>
      <c r="I79" s="269"/>
      <c r="J79" s="6"/>
      <c r="K79" s="157"/>
      <c r="L79" s="150">
        <v>0</v>
      </c>
      <c r="M79" s="151">
        <v>0</v>
      </c>
      <c r="N79" s="151">
        <v>0</v>
      </c>
      <c r="O79" s="151">
        <v>0</v>
      </c>
      <c r="P79" s="152">
        <v>0</v>
      </c>
      <c r="Q79" s="152">
        <v>0</v>
      </c>
      <c r="R79" s="152">
        <v>0</v>
      </c>
      <c r="S79" s="150">
        <v>0</v>
      </c>
      <c r="T79" s="151">
        <v>0</v>
      </c>
      <c r="U79" s="151">
        <v>0</v>
      </c>
      <c r="V79" s="151">
        <v>0</v>
      </c>
      <c r="W79" s="152">
        <v>0</v>
      </c>
      <c r="X79" s="152">
        <v>0</v>
      </c>
      <c r="Y79" s="152">
        <v>0</v>
      </c>
      <c r="Z79" s="150">
        <v>0</v>
      </c>
      <c r="AA79" s="151">
        <v>0</v>
      </c>
      <c r="AB79" s="151">
        <v>0</v>
      </c>
      <c r="AC79" s="151">
        <v>0</v>
      </c>
      <c r="AD79" s="152">
        <v>0</v>
      </c>
      <c r="AE79" s="152">
        <v>0</v>
      </c>
      <c r="AF79" s="152">
        <v>0</v>
      </c>
      <c r="AG79" s="150">
        <v>0</v>
      </c>
      <c r="AH79" s="151">
        <v>0</v>
      </c>
      <c r="AI79" s="151">
        <v>0</v>
      </c>
      <c r="AJ79" s="151">
        <v>0</v>
      </c>
      <c r="AK79" s="152">
        <v>0</v>
      </c>
      <c r="AL79" s="152">
        <v>0</v>
      </c>
      <c r="AM79" s="152">
        <v>0</v>
      </c>
    </row>
    <row r="80" spans="1:39" ht="13.2">
      <c r="A80" s="260"/>
      <c r="B80" s="158">
        <f ca="1">Kalk!J35</f>
        <v>3.7599999999999998E-4</v>
      </c>
      <c r="C80" s="123"/>
      <c r="D80" s="123"/>
      <c r="E80" s="159"/>
      <c r="F80" s="6"/>
      <c r="G80" s="88">
        <f>IF(Kalk!B3="Die cut",1,0)</f>
        <v>0</v>
      </c>
      <c r="H80" s="88">
        <f ca="1">IF((G76-E76-14)/2&lt;=240,1,0)</f>
        <v>1</v>
      </c>
      <c r="I80" s="154">
        <f>Kalk!W35</f>
        <v>0</v>
      </c>
      <c r="J80" s="160"/>
      <c r="K80" s="161"/>
      <c r="L80" s="162">
        <v>0</v>
      </c>
      <c r="M80" s="163">
        <v>0</v>
      </c>
      <c r="N80" s="163">
        <v>0</v>
      </c>
      <c r="O80" s="163">
        <v>0</v>
      </c>
      <c r="P80" s="164">
        <v>0</v>
      </c>
      <c r="Q80" s="164">
        <v>0</v>
      </c>
      <c r="R80" s="164">
        <v>0</v>
      </c>
      <c r="S80" s="162">
        <v>0</v>
      </c>
      <c r="T80" s="163">
        <v>0</v>
      </c>
      <c r="U80" s="163">
        <v>0</v>
      </c>
      <c r="V80" s="163">
        <v>0</v>
      </c>
      <c r="W80" s="164">
        <v>0</v>
      </c>
      <c r="X80" s="164">
        <v>0</v>
      </c>
      <c r="Y80" s="164">
        <v>0</v>
      </c>
      <c r="Z80" s="162">
        <v>0</v>
      </c>
      <c r="AA80" s="163">
        <v>0</v>
      </c>
      <c r="AB80" s="163">
        <v>0</v>
      </c>
      <c r="AC80" s="163">
        <v>0</v>
      </c>
      <c r="AD80" s="164">
        <v>0</v>
      </c>
      <c r="AE80" s="164">
        <v>0</v>
      </c>
      <c r="AF80" s="164">
        <v>0</v>
      </c>
      <c r="AG80" s="162">
        <v>0</v>
      </c>
      <c r="AH80" s="163">
        <v>0</v>
      </c>
      <c r="AI80" s="163">
        <v>0</v>
      </c>
      <c r="AJ80" s="163">
        <v>0</v>
      </c>
      <c r="AK80" s="164">
        <v>0</v>
      </c>
      <c r="AL80" s="164">
        <v>0</v>
      </c>
      <c r="AM80" s="164">
        <v>0</v>
      </c>
    </row>
    <row r="81" spans="1:39" ht="13.2">
      <c r="A81" s="260"/>
      <c r="B81" s="158"/>
      <c r="C81" s="123"/>
      <c r="D81" s="123"/>
      <c r="E81" s="159"/>
      <c r="F81" s="6"/>
      <c r="G81" s="6"/>
      <c r="H81" s="6"/>
      <c r="I81" s="154"/>
      <c r="J81" s="160"/>
      <c r="K81" s="161"/>
      <c r="L81" s="165">
        <f t="shared" ref="L81:AB81" si="16">SUM(L75:L80)</f>
        <v>0</v>
      </c>
      <c r="M81" s="88">
        <f t="shared" si="16"/>
        <v>0</v>
      </c>
      <c r="N81" s="88">
        <f t="shared" si="16"/>
        <v>0</v>
      </c>
      <c r="O81" s="88">
        <f t="shared" si="16"/>
        <v>0</v>
      </c>
      <c r="P81" s="88">
        <f t="shared" si="16"/>
        <v>0</v>
      </c>
      <c r="Q81" s="88">
        <f t="shared" si="16"/>
        <v>0</v>
      </c>
      <c r="R81" s="88">
        <f t="shared" si="16"/>
        <v>0</v>
      </c>
      <c r="S81" s="88">
        <f t="shared" si="16"/>
        <v>0</v>
      </c>
      <c r="T81" s="88">
        <f t="shared" si="16"/>
        <v>0</v>
      </c>
      <c r="U81" s="88">
        <f t="shared" si="16"/>
        <v>0</v>
      </c>
      <c r="V81" s="88">
        <f t="shared" si="16"/>
        <v>0</v>
      </c>
      <c r="W81" s="88">
        <f t="shared" si="16"/>
        <v>0</v>
      </c>
      <c r="X81" s="88">
        <f t="shared" si="16"/>
        <v>0</v>
      </c>
      <c r="Y81" s="88">
        <f t="shared" si="16"/>
        <v>0</v>
      </c>
      <c r="Z81" s="88">
        <f t="shared" si="16"/>
        <v>0</v>
      </c>
      <c r="AA81" s="88">
        <f t="shared" si="16"/>
        <v>0</v>
      </c>
      <c r="AB81" s="88">
        <f t="shared" si="16"/>
        <v>0</v>
      </c>
      <c r="AC81" s="88">
        <f>SUM(AB75:AB80)</f>
        <v>0</v>
      </c>
      <c r="AD81" s="88">
        <f t="shared" ref="AD81:AM81" si="17">SUM(AD75:AD80)</f>
        <v>0</v>
      </c>
      <c r="AE81" s="88">
        <f t="shared" si="17"/>
        <v>0</v>
      </c>
      <c r="AF81" s="88">
        <f t="shared" si="17"/>
        <v>0</v>
      </c>
      <c r="AG81" s="88">
        <f t="shared" si="17"/>
        <v>0</v>
      </c>
      <c r="AH81" s="88">
        <f t="shared" si="17"/>
        <v>0</v>
      </c>
      <c r="AI81" s="88">
        <f t="shared" si="17"/>
        <v>0</v>
      </c>
      <c r="AJ81" s="88">
        <f t="shared" si="17"/>
        <v>0</v>
      </c>
      <c r="AK81" s="88">
        <f t="shared" si="17"/>
        <v>0</v>
      </c>
      <c r="AL81" s="88">
        <f t="shared" si="17"/>
        <v>0</v>
      </c>
      <c r="AM81" s="88">
        <f t="shared" si="17"/>
        <v>0</v>
      </c>
    </row>
    <row r="82" spans="1:39" ht="13.2">
      <c r="A82" s="260"/>
      <c r="B82" s="123"/>
      <c r="C82" s="123"/>
      <c r="D82" s="123"/>
      <c r="E82" s="168"/>
      <c r="F82" s="166"/>
      <c r="G82" s="166"/>
      <c r="H82" s="166"/>
      <c r="I82" s="169"/>
      <c r="J82" s="166"/>
    </row>
    <row r="83" spans="1:39" ht="13.2">
      <c r="B83" s="167"/>
      <c r="C83" s="167"/>
      <c r="D83" s="167"/>
      <c r="E83" s="167"/>
      <c r="F83" s="167"/>
      <c r="G83" s="167"/>
      <c r="H83" s="167"/>
      <c r="I83" s="167"/>
      <c r="J83" s="88" t="s">
        <v>83</v>
      </c>
      <c r="K83" s="110" t="s">
        <v>956</v>
      </c>
      <c r="L83" s="110" t="s">
        <v>957</v>
      </c>
      <c r="M83" s="116" t="s">
        <v>958</v>
      </c>
      <c r="N83" s="116" t="s">
        <v>959</v>
      </c>
      <c r="O83" s="116" t="s">
        <v>960</v>
      </c>
      <c r="P83" s="146" t="s">
        <v>958</v>
      </c>
      <c r="Q83" s="146" t="s">
        <v>959</v>
      </c>
      <c r="R83" s="146" t="s">
        <v>960</v>
      </c>
      <c r="S83" s="110" t="s">
        <v>957</v>
      </c>
      <c r="T83" s="116" t="s">
        <v>958</v>
      </c>
      <c r="U83" s="116" t="s">
        <v>959</v>
      </c>
      <c r="V83" s="116" t="s">
        <v>960</v>
      </c>
      <c r="W83" s="146" t="s">
        <v>958</v>
      </c>
      <c r="X83" s="146" t="s">
        <v>959</v>
      </c>
      <c r="Y83" s="146" t="s">
        <v>960</v>
      </c>
      <c r="Z83" s="110" t="s">
        <v>957</v>
      </c>
      <c r="AA83" s="116" t="s">
        <v>958</v>
      </c>
      <c r="AB83" s="116" t="s">
        <v>959</v>
      </c>
      <c r="AC83" s="116" t="s">
        <v>960</v>
      </c>
      <c r="AD83" s="146" t="s">
        <v>958</v>
      </c>
      <c r="AE83" s="146" t="s">
        <v>959</v>
      </c>
      <c r="AF83" s="146" t="s">
        <v>960</v>
      </c>
      <c r="AG83" s="110" t="s">
        <v>957</v>
      </c>
      <c r="AH83" s="116" t="s">
        <v>958</v>
      </c>
      <c r="AI83" s="116" t="s">
        <v>959</v>
      </c>
      <c r="AJ83" s="116" t="s">
        <v>960</v>
      </c>
      <c r="AK83" s="146" t="s">
        <v>958</v>
      </c>
      <c r="AL83" s="146" t="s">
        <v>959</v>
      </c>
      <c r="AM83" s="146" t="s">
        <v>960</v>
      </c>
    </row>
    <row r="84" spans="1:39" ht="13.35" customHeight="1">
      <c r="A84" s="260">
        <v>10</v>
      </c>
      <c r="B84" s="267" t="s">
        <v>962</v>
      </c>
      <c r="C84" s="147" t="s">
        <v>56</v>
      </c>
      <c r="D84" s="147" t="s">
        <v>57</v>
      </c>
      <c r="E84" s="147" t="s">
        <v>66</v>
      </c>
      <c r="F84" s="268" t="s">
        <v>963</v>
      </c>
      <c r="G84" s="268"/>
      <c r="H84" s="148" t="s">
        <v>964</v>
      </c>
      <c r="I84" s="269" t="s">
        <v>965</v>
      </c>
      <c r="J84" s="88">
        <f>Kalk!AH39</f>
        <v>0</v>
      </c>
      <c r="K84" s="150" t="str">
        <f>IF($B86=1,SUM(L90:R90),"")</f>
        <v/>
      </c>
      <c r="L84" s="150">
        <v>0</v>
      </c>
      <c r="M84" s="151">
        <v>0</v>
      </c>
      <c r="N84" s="151">
        <v>0</v>
      </c>
      <c r="O84" s="151">
        <v>0</v>
      </c>
      <c r="P84" s="152">
        <v>0</v>
      </c>
      <c r="Q84" s="152">
        <v>0</v>
      </c>
      <c r="R84" s="152">
        <v>0</v>
      </c>
      <c r="S84" s="150">
        <v>0</v>
      </c>
      <c r="T84" s="151">
        <v>0</v>
      </c>
      <c r="U84" s="151">
        <v>0</v>
      </c>
      <c r="V84" s="151">
        <v>0</v>
      </c>
      <c r="W84" s="152">
        <v>0</v>
      </c>
      <c r="X84" s="152">
        <v>0</v>
      </c>
      <c r="Y84" s="152">
        <v>0</v>
      </c>
      <c r="Z84" s="150">
        <v>0</v>
      </c>
      <c r="AA84" s="151">
        <v>0</v>
      </c>
      <c r="AB84" s="151">
        <v>0</v>
      </c>
      <c r="AC84" s="151">
        <v>0</v>
      </c>
      <c r="AD84" s="152">
        <v>0</v>
      </c>
      <c r="AE84" s="152">
        <v>0</v>
      </c>
      <c r="AF84" s="152">
        <v>0</v>
      </c>
      <c r="AG84" s="150">
        <v>0</v>
      </c>
      <c r="AH84" s="151">
        <v>0</v>
      </c>
      <c r="AI84" s="151">
        <v>0</v>
      </c>
      <c r="AJ84" s="151">
        <v>0</v>
      </c>
      <c r="AK84" s="152">
        <v>0</v>
      </c>
      <c r="AL84" s="152">
        <v>0</v>
      </c>
      <c r="AM84" s="152">
        <v>0</v>
      </c>
    </row>
    <row r="85" spans="1:39" ht="13.2">
      <c r="A85" s="260"/>
      <c r="B85" s="267"/>
      <c r="C85" s="147">
        <f>Kalk!C40</f>
        <v>0</v>
      </c>
      <c r="D85" s="147">
        <f>Kalk!E40</f>
        <v>0</v>
      </c>
      <c r="E85" s="147">
        <f>Kalk!G40</f>
        <v>0</v>
      </c>
      <c r="F85" s="147">
        <f ca="1">Kalk!I40</f>
        <v>47</v>
      </c>
      <c r="G85" s="147">
        <f ca="1">Kalk!I42</f>
        <v>8</v>
      </c>
      <c r="H85" s="147" t="str">
        <f>Kalk!B40</f>
        <v>F0201</v>
      </c>
      <c r="I85" s="269"/>
      <c r="J85" s="88">
        <f>Kalk!AH40</f>
        <v>0</v>
      </c>
      <c r="K85" s="150" t="str">
        <f>IF($B86=1,SUM(S90:Y90),"")</f>
        <v/>
      </c>
      <c r="L85" s="150">
        <v>0</v>
      </c>
      <c r="M85" s="151">
        <v>0</v>
      </c>
      <c r="N85" s="151">
        <v>0</v>
      </c>
      <c r="O85" s="151">
        <v>0</v>
      </c>
      <c r="P85" s="152">
        <v>0</v>
      </c>
      <c r="Q85" s="152">
        <v>0</v>
      </c>
      <c r="R85" s="152">
        <v>0</v>
      </c>
      <c r="S85" s="150">
        <v>0</v>
      </c>
      <c r="T85" s="151">
        <v>0</v>
      </c>
      <c r="U85" s="151">
        <v>0</v>
      </c>
      <c r="V85" s="151">
        <v>0</v>
      </c>
      <c r="W85" s="152">
        <v>0</v>
      </c>
      <c r="X85" s="152">
        <v>0</v>
      </c>
      <c r="Y85" s="152">
        <v>0</v>
      </c>
      <c r="Z85" s="150">
        <v>0</v>
      </c>
      <c r="AA85" s="151">
        <v>0</v>
      </c>
      <c r="AB85" s="151">
        <v>0</v>
      </c>
      <c r="AC85" s="151">
        <v>0</v>
      </c>
      <c r="AD85" s="152">
        <v>0</v>
      </c>
      <c r="AE85" s="152">
        <v>0</v>
      </c>
      <c r="AF85" s="152">
        <v>0</v>
      </c>
      <c r="AG85" s="150">
        <v>0</v>
      </c>
      <c r="AH85" s="151">
        <v>0</v>
      </c>
      <c r="AI85" s="151">
        <v>0</v>
      </c>
      <c r="AJ85" s="151">
        <v>0</v>
      </c>
      <c r="AK85" s="152">
        <v>0</v>
      </c>
      <c r="AL85" s="152">
        <v>0</v>
      </c>
      <c r="AM85" s="152">
        <v>0</v>
      </c>
    </row>
    <row r="86" spans="1:39" ht="13.2">
      <c r="A86" s="260"/>
      <c r="B86" s="153">
        <f>IF(SUM(C113:H113)+H116=7,1,0)</f>
        <v>0</v>
      </c>
      <c r="C86" s="88">
        <f>IF((C112&gt;132)*AND(C112&lt;941),1,0)</f>
        <v>0</v>
      </c>
      <c r="D86" s="88">
        <f>IF((D112&gt;=132)*AND(D112&lt;481),1,0)</f>
        <v>0</v>
      </c>
      <c r="E86" s="88">
        <f>IF((E112&gt;89)*AND(E112&lt;481),1,0)</f>
        <v>0</v>
      </c>
      <c r="F86" s="88">
        <f>IF((F112&gt;547)*AND(F112&lt;=2180),1,0)</f>
        <v>0</v>
      </c>
      <c r="G86" s="88">
        <f>IF((G112&gt;263)*AND(G112&lt;891),1,0)</f>
        <v>0</v>
      </c>
      <c r="H86" s="88">
        <f>IF(OR(H112="F0200",H112="F0201",H112="F0202",H112="F0203",H112="F0201-F0203",H112="F0200-F0203",H112="F0501"),1,0)</f>
        <v>0</v>
      </c>
      <c r="I86" s="154">
        <f>Kalk!M84</f>
        <v>0</v>
      </c>
      <c r="J86" s="88">
        <f>Kalk!AH41</f>
        <v>0</v>
      </c>
      <c r="K86" s="150" t="str">
        <f>IF($B86=1,SUM(Z90:AF90),"")</f>
        <v/>
      </c>
      <c r="L86" s="150">
        <v>0</v>
      </c>
      <c r="M86" s="151">
        <v>0</v>
      </c>
      <c r="N86" s="151">
        <v>0</v>
      </c>
      <c r="O86" s="151">
        <v>0</v>
      </c>
      <c r="P86" s="152">
        <v>0</v>
      </c>
      <c r="Q86" s="152">
        <v>0</v>
      </c>
      <c r="R86" s="152">
        <v>0</v>
      </c>
      <c r="S86" s="150">
        <v>0</v>
      </c>
      <c r="T86" s="151">
        <v>0</v>
      </c>
      <c r="U86" s="151">
        <v>0</v>
      </c>
      <c r="V86" s="151">
        <v>0</v>
      </c>
      <c r="W86" s="152">
        <v>0</v>
      </c>
      <c r="X86" s="152">
        <v>0</v>
      </c>
      <c r="Y86" s="152">
        <v>0</v>
      </c>
      <c r="Z86" s="150">
        <v>0</v>
      </c>
      <c r="AA86" s="151">
        <v>0</v>
      </c>
      <c r="AB86" s="151">
        <v>0</v>
      </c>
      <c r="AC86" s="151">
        <v>0</v>
      </c>
      <c r="AD86" s="152">
        <v>0</v>
      </c>
      <c r="AE86" s="152">
        <v>0</v>
      </c>
      <c r="AF86" s="152">
        <v>0</v>
      </c>
      <c r="AG86" s="150">
        <v>0</v>
      </c>
      <c r="AH86" s="151">
        <v>0</v>
      </c>
      <c r="AI86" s="151">
        <v>0</v>
      </c>
      <c r="AJ86" s="151">
        <v>0</v>
      </c>
      <c r="AK86" s="152">
        <v>0</v>
      </c>
      <c r="AL86" s="152">
        <v>0</v>
      </c>
      <c r="AM86" s="152">
        <v>0</v>
      </c>
    </row>
    <row r="87" spans="1:39" ht="12.9" customHeight="1">
      <c r="A87" s="260"/>
      <c r="B87" s="269" t="s">
        <v>968</v>
      </c>
      <c r="E87" t="s">
        <v>35</v>
      </c>
      <c r="G87" s="269" t="s">
        <v>969</v>
      </c>
      <c r="H87" s="269" t="s">
        <v>970</v>
      </c>
      <c r="I87" s="269" t="s">
        <v>971</v>
      </c>
      <c r="J87" s="88">
        <f>Kalk!AH42</f>
        <v>0</v>
      </c>
      <c r="K87" s="150" t="str">
        <f>IF($B86=1,SUM(AG90:AM90),"")</f>
        <v/>
      </c>
      <c r="L87" s="150">
        <v>0</v>
      </c>
      <c r="M87" s="151">
        <v>0</v>
      </c>
      <c r="N87" s="151">
        <v>0</v>
      </c>
      <c r="O87" s="151">
        <v>0</v>
      </c>
      <c r="P87" s="152">
        <v>0</v>
      </c>
      <c r="Q87" s="152">
        <v>0</v>
      </c>
      <c r="R87" s="152">
        <v>0</v>
      </c>
      <c r="S87" s="150">
        <v>0</v>
      </c>
      <c r="T87" s="151">
        <v>0</v>
      </c>
      <c r="U87" s="151">
        <v>0</v>
      </c>
      <c r="V87" s="151">
        <v>0</v>
      </c>
      <c r="W87" s="152">
        <v>0</v>
      </c>
      <c r="X87" s="152">
        <v>0</v>
      </c>
      <c r="Y87" s="152">
        <v>0</v>
      </c>
      <c r="Z87" s="150">
        <v>0</v>
      </c>
      <c r="AA87" s="151">
        <v>0</v>
      </c>
      <c r="AB87" s="151">
        <v>0</v>
      </c>
      <c r="AC87" s="151">
        <v>0</v>
      </c>
      <c r="AD87" s="152">
        <v>0</v>
      </c>
      <c r="AE87" s="152">
        <v>0</v>
      </c>
      <c r="AF87" s="152">
        <v>0</v>
      </c>
      <c r="AG87" s="150">
        <v>0</v>
      </c>
      <c r="AH87" s="151">
        <v>0</v>
      </c>
      <c r="AI87" s="151">
        <v>0</v>
      </c>
      <c r="AJ87" s="151">
        <v>0</v>
      </c>
      <c r="AK87" s="152">
        <v>0</v>
      </c>
      <c r="AL87" s="152">
        <v>0</v>
      </c>
      <c r="AM87" s="152">
        <v>0</v>
      </c>
    </row>
    <row r="88" spans="1:39" ht="13.2">
      <c r="A88" s="260"/>
      <c r="B88" s="269"/>
      <c r="C88" s="155"/>
      <c r="D88" s="155"/>
      <c r="F88" s="156"/>
      <c r="G88" s="269"/>
      <c r="H88" s="269"/>
      <c r="I88" s="269"/>
      <c r="J88" s="6"/>
      <c r="K88" s="157"/>
      <c r="L88" s="150">
        <v>0</v>
      </c>
      <c r="M88" s="151">
        <v>0</v>
      </c>
      <c r="N88" s="151">
        <v>0</v>
      </c>
      <c r="O88" s="151">
        <v>0</v>
      </c>
      <c r="P88" s="152">
        <v>0</v>
      </c>
      <c r="Q88" s="152">
        <v>0</v>
      </c>
      <c r="R88" s="152">
        <v>0</v>
      </c>
      <c r="S88" s="150">
        <v>0</v>
      </c>
      <c r="T88" s="151">
        <v>0</v>
      </c>
      <c r="U88" s="151">
        <v>0</v>
      </c>
      <c r="V88" s="151">
        <v>0</v>
      </c>
      <c r="W88" s="152">
        <v>0</v>
      </c>
      <c r="X88" s="152">
        <v>0</v>
      </c>
      <c r="Y88" s="152">
        <v>0</v>
      </c>
      <c r="Z88" s="150">
        <v>0</v>
      </c>
      <c r="AA88" s="151">
        <v>0</v>
      </c>
      <c r="AB88" s="151">
        <v>0</v>
      </c>
      <c r="AC88" s="151">
        <v>0</v>
      </c>
      <c r="AD88" s="152">
        <v>0</v>
      </c>
      <c r="AE88" s="152">
        <v>0</v>
      </c>
      <c r="AF88" s="152">
        <v>0</v>
      </c>
      <c r="AG88" s="150">
        <v>0</v>
      </c>
      <c r="AH88" s="151">
        <v>0</v>
      </c>
      <c r="AI88" s="151">
        <v>0</v>
      </c>
      <c r="AJ88" s="151">
        <v>0</v>
      </c>
      <c r="AK88" s="152">
        <v>0</v>
      </c>
      <c r="AL88" s="152">
        <v>0</v>
      </c>
      <c r="AM88" s="152">
        <v>0</v>
      </c>
    </row>
    <row r="89" spans="1:39" ht="13.2">
      <c r="A89" s="260"/>
      <c r="B89" s="158">
        <f ca="1">Kalk!J39</f>
        <v>3.7599999999999998E-4</v>
      </c>
      <c r="C89" s="123"/>
      <c r="D89" s="123"/>
      <c r="E89" s="159"/>
      <c r="F89" s="6"/>
      <c r="G89" s="88">
        <f>IF(Kalk!B3="Die cut",1,0)</f>
        <v>0</v>
      </c>
      <c r="H89" s="88">
        <f ca="1">IF((G85-E85-14)/2&lt;=240,1,0)</f>
        <v>1</v>
      </c>
      <c r="I89" s="154">
        <f>Kalk!W39</f>
        <v>0</v>
      </c>
      <c r="J89" s="160"/>
      <c r="K89" s="161"/>
      <c r="L89" s="162">
        <v>0</v>
      </c>
      <c r="M89" s="163">
        <v>0</v>
      </c>
      <c r="N89" s="163">
        <v>0</v>
      </c>
      <c r="O89" s="163">
        <v>0</v>
      </c>
      <c r="P89" s="164">
        <v>0</v>
      </c>
      <c r="Q89" s="164">
        <v>0</v>
      </c>
      <c r="R89" s="164">
        <v>0</v>
      </c>
      <c r="S89" s="162">
        <v>0</v>
      </c>
      <c r="T89" s="163">
        <v>0</v>
      </c>
      <c r="U89" s="163">
        <v>0</v>
      </c>
      <c r="V89" s="163">
        <v>0</v>
      </c>
      <c r="W89" s="164">
        <v>0</v>
      </c>
      <c r="X89" s="164">
        <v>0</v>
      </c>
      <c r="Y89" s="164">
        <v>0</v>
      </c>
      <c r="Z89" s="162">
        <v>0</v>
      </c>
      <c r="AA89" s="163">
        <v>0</v>
      </c>
      <c r="AB89" s="163">
        <v>0</v>
      </c>
      <c r="AC89" s="163">
        <v>0</v>
      </c>
      <c r="AD89" s="164">
        <v>0</v>
      </c>
      <c r="AE89" s="164">
        <v>0</v>
      </c>
      <c r="AF89" s="164">
        <v>0</v>
      </c>
      <c r="AG89" s="162">
        <v>0</v>
      </c>
      <c r="AH89" s="163">
        <v>0</v>
      </c>
      <c r="AI89" s="163">
        <v>0</v>
      </c>
      <c r="AJ89" s="163">
        <v>0</v>
      </c>
      <c r="AK89" s="164">
        <v>0</v>
      </c>
      <c r="AL89" s="164">
        <v>0</v>
      </c>
      <c r="AM89" s="164">
        <v>0</v>
      </c>
    </row>
    <row r="90" spans="1:39" ht="13.2">
      <c r="A90" s="260"/>
      <c r="B90" s="158"/>
      <c r="C90" s="123"/>
      <c r="D90" s="123"/>
      <c r="E90" s="159"/>
      <c r="F90" s="6"/>
      <c r="G90" s="6"/>
      <c r="H90" s="6"/>
      <c r="I90" s="154"/>
      <c r="J90" s="160"/>
      <c r="K90" s="161"/>
      <c r="L90" s="165">
        <f t="shared" ref="L90:AB90" si="18">SUM(L84:L89)</f>
        <v>0</v>
      </c>
      <c r="M90" s="88">
        <f t="shared" si="18"/>
        <v>0</v>
      </c>
      <c r="N90" s="88">
        <f t="shared" si="18"/>
        <v>0</v>
      </c>
      <c r="O90" s="88">
        <f t="shared" si="18"/>
        <v>0</v>
      </c>
      <c r="P90" s="88">
        <f t="shared" si="18"/>
        <v>0</v>
      </c>
      <c r="Q90" s="88">
        <f t="shared" si="18"/>
        <v>0</v>
      </c>
      <c r="R90" s="88">
        <f t="shared" si="18"/>
        <v>0</v>
      </c>
      <c r="S90" s="88">
        <f t="shared" si="18"/>
        <v>0</v>
      </c>
      <c r="T90" s="88">
        <f t="shared" si="18"/>
        <v>0</v>
      </c>
      <c r="U90" s="88">
        <f t="shared" si="18"/>
        <v>0</v>
      </c>
      <c r="V90" s="88">
        <f t="shared" si="18"/>
        <v>0</v>
      </c>
      <c r="W90" s="88">
        <f t="shared" si="18"/>
        <v>0</v>
      </c>
      <c r="X90" s="88">
        <f t="shared" si="18"/>
        <v>0</v>
      </c>
      <c r="Y90" s="88">
        <f t="shared" si="18"/>
        <v>0</v>
      </c>
      <c r="Z90" s="88">
        <f t="shared" si="18"/>
        <v>0</v>
      </c>
      <c r="AA90" s="88">
        <f t="shared" si="18"/>
        <v>0</v>
      </c>
      <c r="AB90" s="88">
        <f t="shared" si="18"/>
        <v>0</v>
      </c>
      <c r="AC90" s="88">
        <f>SUM(AB84:AB89)</f>
        <v>0</v>
      </c>
      <c r="AD90" s="88">
        <f t="shared" ref="AD90:AM90" si="19">SUM(AD84:AD89)</f>
        <v>0</v>
      </c>
      <c r="AE90" s="88">
        <f t="shared" si="19"/>
        <v>0</v>
      </c>
      <c r="AF90" s="88">
        <f t="shared" si="19"/>
        <v>0</v>
      </c>
      <c r="AG90" s="88">
        <f t="shared" si="19"/>
        <v>0</v>
      </c>
      <c r="AH90" s="88">
        <f t="shared" si="19"/>
        <v>0</v>
      </c>
      <c r="AI90" s="88">
        <f t="shared" si="19"/>
        <v>0</v>
      </c>
      <c r="AJ90" s="88">
        <f t="shared" si="19"/>
        <v>0</v>
      </c>
      <c r="AK90" s="88">
        <f t="shared" si="19"/>
        <v>0</v>
      </c>
      <c r="AL90" s="88">
        <f t="shared" si="19"/>
        <v>0</v>
      </c>
      <c r="AM90" s="88">
        <f t="shared" si="19"/>
        <v>0</v>
      </c>
    </row>
    <row r="91" spans="1:39" ht="13.2">
      <c r="A91" s="260"/>
      <c r="B91" s="123"/>
      <c r="C91" s="123"/>
      <c r="D91" s="123"/>
      <c r="E91" s="168"/>
      <c r="F91" s="166"/>
      <c r="G91" s="166"/>
      <c r="H91" s="166"/>
      <c r="I91" s="169"/>
      <c r="J91" s="166"/>
    </row>
  </sheetData>
  <mergeCells count="83">
    <mergeCell ref="AO1:AO2"/>
    <mergeCell ref="A3:A10"/>
    <mergeCell ref="B3:B4"/>
    <mergeCell ref="F3:G3"/>
    <mergeCell ref="I3:I4"/>
    <mergeCell ref="AQ3:AR3"/>
    <mergeCell ref="AS3:AT3"/>
    <mergeCell ref="B6:B7"/>
    <mergeCell ref="G6:G7"/>
    <mergeCell ref="H6:H7"/>
    <mergeCell ref="I6:I7"/>
    <mergeCell ref="A12:A19"/>
    <mergeCell ref="B12:B13"/>
    <mergeCell ref="F12:G12"/>
    <mergeCell ref="I12:I13"/>
    <mergeCell ref="B15:B16"/>
    <mergeCell ref="G15:G16"/>
    <mergeCell ref="H15:H16"/>
    <mergeCell ref="I15:I16"/>
    <mergeCell ref="A21:A28"/>
    <mergeCell ref="B21:B22"/>
    <mergeCell ref="F21:G21"/>
    <mergeCell ref="I21:I22"/>
    <mergeCell ref="B24:B25"/>
    <mergeCell ref="G24:G25"/>
    <mergeCell ref="H24:H25"/>
    <mergeCell ref="I24:I25"/>
    <mergeCell ref="A30:A37"/>
    <mergeCell ref="B30:B31"/>
    <mergeCell ref="F30:G30"/>
    <mergeCell ref="I30:I31"/>
    <mergeCell ref="B33:B34"/>
    <mergeCell ref="G33:G34"/>
    <mergeCell ref="H33:H34"/>
    <mergeCell ref="I33:I34"/>
    <mergeCell ref="A39:A46"/>
    <mergeCell ref="B39:B40"/>
    <mergeCell ref="F39:G39"/>
    <mergeCell ref="I39:I40"/>
    <mergeCell ref="B42:B43"/>
    <mergeCell ref="G42:G43"/>
    <mergeCell ref="H42:H43"/>
    <mergeCell ref="I42:I43"/>
    <mergeCell ref="A48:A55"/>
    <mergeCell ref="B48:B49"/>
    <mergeCell ref="F48:G48"/>
    <mergeCell ref="I48:I49"/>
    <mergeCell ref="B51:B52"/>
    <mergeCell ref="G51:G52"/>
    <mergeCell ref="H51:H52"/>
    <mergeCell ref="I51:I52"/>
    <mergeCell ref="A57:A64"/>
    <mergeCell ref="B57:B58"/>
    <mergeCell ref="F57:G57"/>
    <mergeCell ref="I57:I58"/>
    <mergeCell ref="B60:B61"/>
    <mergeCell ref="G60:G61"/>
    <mergeCell ref="H60:H61"/>
    <mergeCell ref="I60:I61"/>
    <mergeCell ref="A66:A73"/>
    <mergeCell ref="B66:B67"/>
    <mergeCell ref="F66:G66"/>
    <mergeCell ref="I66:I67"/>
    <mergeCell ref="B69:B70"/>
    <mergeCell ref="G69:G70"/>
    <mergeCell ref="H69:H70"/>
    <mergeCell ref="I69:I70"/>
    <mergeCell ref="A75:A82"/>
    <mergeCell ref="B75:B76"/>
    <mergeCell ref="F75:G75"/>
    <mergeCell ref="I75:I76"/>
    <mergeCell ref="B78:B79"/>
    <mergeCell ref="G78:G79"/>
    <mergeCell ref="H78:H79"/>
    <mergeCell ref="I78:I79"/>
    <mergeCell ref="A84:A91"/>
    <mergeCell ref="B84:B85"/>
    <mergeCell ref="F84:G84"/>
    <mergeCell ref="I84:I85"/>
    <mergeCell ref="B87:B88"/>
    <mergeCell ref="G87:G88"/>
    <mergeCell ref="H87:H88"/>
    <mergeCell ref="I87:I8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FFC000"/>
    <pageSetUpPr fitToPage="1"/>
  </sheetPr>
  <dimension ref="A1:BV80"/>
  <sheetViews>
    <sheetView topLeftCell="A37" zoomScale="74" zoomScaleNormal="74" workbookViewId="0">
      <selection activeCell="G77" sqref="G77"/>
    </sheetView>
  </sheetViews>
  <sheetFormatPr defaultColWidth="11.5546875" defaultRowHeight="12.75" customHeight="1"/>
  <cols>
    <col min="2" max="2" width="16.5546875" customWidth="1"/>
    <col min="3" max="3" width="15.88671875" customWidth="1"/>
    <col min="11" max="11" width="15.5546875" customWidth="1"/>
    <col min="12" max="12" width="17.44140625" customWidth="1"/>
  </cols>
  <sheetData>
    <row r="1" spans="1:74" ht="13.2">
      <c r="J1" s="88" t="s">
        <v>83</v>
      </c>
      <c r="K1" s="110" t="s">
        <v>956</v>
      </c>
      <c r="L1" s="110" t="s">
        <v>975</v>
      </c>
      <c r="M1" s="110" t="s">
        <v>976</v>
      </c>
      <c r="N1" s="116" t="s">
        <v>958</v>
      </c>
      <c r="O1" s="116" t="s">
        <v>959</v>
      </c>
      <c r="P1" s="116" t="s">
        <v>960</v>
      </c>
      <c r="Q1" s="146" t="s">
        <v>958</v>
      </c>
      <c r="R1" s="146" t="s">
        <v>959</v>
      </c>
      <c r="S1" s="146" t="s">
        <v>960</v>
      </c>
      <c r="T1" s="88" t="s">
        <v>977</v>
      </c>
      <c r="U1" s="108" t="s">
        <v>978</v>
      </c>
      <c r="V1" s="170" t="s">
        <v>979</v>
      </c>
      <c r="W1" s="171" t="s">
        <v>980</v>
      </c>
      <c r="X1" s="110" t="s">
        <v>975</v>
      </c>
      <c r="Y1" s="110" t="s">
        <v>976</v>
      </c>
      <c r="Z1" s="116" t="s">
        <v>958</v>
      </c>
      <c r="AA1" s="116" t="s">
        <v>959</v>
      </c>
      <c r="AB1" s="116" t="s">
        <v>960</v>
      </c>
      <c r="AC1" s="146" t="s">
        <v>958</v>
      </c>
      <c r="AD1" s="146" t="s">
        <v>959</v>
      </c>
      <c r="AE1" s="146" t="s">
        <v>960</v>
      </c>
      <c r="AF1" s="88" t="s">
        <v>977</v>
      </c>
      <c r="AG1" s="108" t="s">
        <v>978</v>
      </c>
      <c r="AH1" s="170" t="s">
        <v>979</v>
      </c>
      <c r="AI1" s="171" t="s">
        <v>980</v>
      </c>
      <c r="AJ1" s="110" t="s">
        <v>975</v>
      </c>
      <c r="AK1" s="110" t="s">
        <v>976</v>
      </c>
      <c r="AL1" s="116" t="s">
        <v>958</v>
      </c>
      <c r="AM1" s="116" t="s">
        <v>959</v>
      </c>
      <c r="AN1" s="116" t="s">
        <v>960</v>
      </c>
      <c r="AO1" s="146" t="s">
        <v>958</v>
      </c>
      <c r="AP1" s="146" t="s">
        <v>959</v>
      </c>
      <c r="AQ1" s="146" t="s">
        <v>960</v>
      </c>
      <c r="AR1" s="88" t="s">
        <v>977</v>
      </c>
      <c r="AS1" s="108" t="s">
        <v>978</v>
      </c>
      <c r="AT1" s="170" t="s">
        <v>979</v>
      </c>
      <c r="AU1" s="171" t="s">
        <v>980</v>
      </c>
      <c r="AV1" s="110" t="s">
        <v>975</v>
      </c>
      <c r="AW1" s="110" t="s">
        <v>976</v>
      </c>
      <c r="AX1" s="116" t="s">
        <v>958</v>
      </c>
      <c r="AY1" s="116" t="s">
        <v>959</v>
      </c>
      <c r="AZ1" s="116" t="s">
        <v>960</v>
      </c>
      <c r="BA1" s="146" t="s">
        <v>958</v>
      </c>
      <c r="BB1" s="146" t="s">
        <v>959</v>
      </c>
      <c r="BC1" s="146" t="s">
        <v>960</v>
      </c>
      <c r="BD1" s="88" t="s">
        <v>977</v>
      </c>
      <c r="BE1" s="108" t="s">
        <v>978</v>
      </c>
      <c r="BF1" s="170" t="s">
        <v>979</v>
      </c>
      <c r="BG1" s="171" t="s">
        <v>980</v>
      </c>
      <c r="BI1" t="s">
        <v>981</v>
      </c>
      <c r="BJ1" s="110" t="s">
        <v>975</v>
      </c>
      <c r="BK1" s="110" t="s">
        <v>976</v>
      </c>
      <c r="BL1" s="266" t="s">
        <v>975</v>
      </c>
      <c r="BM1" s="266"/>
      <c r="BN1" s="276" t="s">
        <v>976</v>
      </c>
      <c r="BO1" s="276"/>
      <c r="BP1" s="88" t="s">
        <v>977</v>
      </c>
      <c r="BQ1" s="108" t="s">
        <v>978</v>
      </c>
      <c r="BR1" s="170" t="s">
        <v>979</v>
      </c>
      <c r="BS1" s="171" t="s">
        <v>980</v>
      </c>
      <c r="BT1" s="110" t="s">
        <v>961</v>
      </c>
    </row>
    <row r="2" spans="1:74" ht="12.9" customHeight="1">
      <c r="A2" s="260">
        <v>1</v>
      </c>
      <c r="B2" s="274" t="s">
        <v>982</v>
      </c>
      <c r="C2" s="147" t="s">
        <v>56</v>
      </c>
      <c r="D2" s="147" t="s">
        <v>57</v>
      </c>
      <c r="E2" s="147" t="s">
        <v>66</v>
      </c>
      <c r="F2" s="268" t="s">
        <v>963</v>
      </c>
      <c r="G2" s="268"/>
      <c r="H2" s="269" t="s">
        <v>965</v>
      </c>
      <c r="I2" s="269" t="s">
        <v>970</v>
      </c>
      <c r="J2" s="88">
        <f ca="1">IF(KLEJENIE!E$7=1,Kalk!AH3*2,Kalk!AH3)</f>
        <v>1000</v>
      </c>
      <c r="K2" s="150">
        <f ca="1">IF(AND($C7=1,$J2&gt;0),IF($H4=100, SUM(L7:W7)+($BT$2*$B7), SUM(L7:W7)),IF(AND($B4=1,$J2&gt;0),SUM(L7:W7)+IF(AND($H7&gt;1,$F7=0), $H7*0.05-0.05, 0),0))</f>
        <v>0</v>
      </c>
      <c r="L2" s="150">
        <f ca="1">IF(AND($H4=0,$H7=0,$J2&lt;500,$J2&gt;0,$B7&lt;2,$F7=0),BJ2/$J2,0)</f>
        <v>0</v>
      </c>
      <c r="M2" s="150">
        <f ca="1">IF(AND($H4=0,$H7=0,$J2&lt;500,$J2&gt;0,$B7&gt;1.999,$F7=0),BK2/$J2,0)</f>
        <v>0</v>
      </c>
      <c r="N2" s="151">
        <f ca="1">IF(AND($H7&gt;0,$H4=25,$B7&lt;2,$J2&lt;500,$F7=0),BV5/$J2,0)</f>
        <v>0</v>
      </c>
      <c r="O2" s="151">
        <f ca="1">IF(AND($H7&gt;0,$H4=50,$B7&lt;2,$J2&gt;0,$J2&lt;500,$F7=0),150/$J2,0)</f>
        <v>0</v>
      </c>
      <c r="P2" s="151">
        <f ca="1">IF(AND($H7&gt;0,$H4=100,$J2&gt;0,$J2&lt;500,$B7&lt;2,$F7=0),(BV5/$J2)+($BT$2*$B7),0)</f>
        <v>0</v>
      </c>
      <c r="Q2" s="152">
        <f ca="1">IF(AND($H7&gt;0,$H4=25,$J2&gt;0,$J2&lt;500,$B7&gt;1.999,$F7=0),BV5/$J2,0)</f>
        <v>0</v>
      </c>
      <c r="R2" s="152">
        <f ca="1">IF(AND($H7&gt;0,$H4=50,$J2&lt;500,$B7&gt;1.999,$F7=0),150/$J2,0)</f>
        <v>0</v>
      </c>
      <c r="S2" s="152">
        <f ca="1">IF(AND($H7&gt;0,$H4=100,$J2&lt;500,$B7&gt;1.999,$F7=0),(BV5/$J2)+($BT$2*$B7),0)</f>
        <v>0</v>
      </c>
      <c r="T2" s="165">
        <f ca="1">IF(AND($H4=0,$H7=0,$J2/$G7&lt;500,$J2/$G7&gt;0,$F7=1),BP2/$J2,0)</f>
        <v>0</v>
      </c>
      <c r="U2" s="151">
        <f ca="1">IFERROR(IF(AND($H4&gt;0,$H7=1,$J2/$G7&lt;500,$J2/$G7&gt;0,$F7=1),BQ2/$J2,0),0)</f>
        <v>0</v>
      </c>
      <c r="V2" s="152">
        <f ca="1">IFERROR(IF(AND($H4&gt;0,$H7=2,$J2/$G7&lt;500,$J2/$G7&gt;0,$F7=1),BR2/$J2,0),0)</f>
        <v>0</v>
      </c>
      <c r="W2" s="172">
        <f ca="1">IFERROR(IF(AND($H4&gt;0,$H7=3,$J2/$G7&lt;500,$J2/$G7&gt;0,$F7=1),BS2/$J2,0),0)</f>
        <v>0</v>
      </c>
      <c r="X2" s="150">
        <f ca="1">IF(AND($H4=0,$H7=0,$J3&lt;500,$J3&gt;0,$B7&lt;2,$F7=0),BJ2/$J3,0)</f>
        <v>0</v>
      </c>
      <c r="Y2" s="150">
        <f ca="1">IF(AND($H4=0,$H7=0,$J3&lt;500,$J3&gt;0,$B7&gt;1.999,$F7=0),BK2/$J3,0)</f>
        <v>0</v>
      </c>
      <c r="Z2" s="151">
        <f ca="1">IF(AND($H7&gt;0,$H4=25,$B7&lt;2,$J3&lt;500,$F7=0),BV5/$J3,0)</f>
        <v>0</v>
      </c>
      <c r="AA2" s="151">
        <f ca="1">IF(AND($H7&gt;0,$H4=50,$B7&lt;2,$J3&lt;500,$F7=0),150/$J3,0)</f>
        <v>0</v>
      </c>
      <c r="AB2" s="151">
        <f ca="1">IF(AND($H7&gt;0,$H4=100,$J3&lt;500,$B7&lt;2,$F7=0),(BV5/$J3)+($BT$2*$B7),0)</f>
        <v>0</v>
      </c>
      <c r="AC2" s="152">
        <f ca="1">IF(AND($H7&gt;0,$H4=25,$J3&lt;500,$B7&gt;1.999,$F7=0),BV5/$J3,0)</f>
        <v>0</v>
      </c>
      <c r="AD2" s="152">
        <f ca="1">IF(AND($H7&gt;0,$H4=50,$J3&lt;500,$B7&gt;1.999,$F7=0),150/$J3,0)</f>
        <v>0</v>
      </c>
      <c r="AE2" s="152">
        <f ca="1">IF(AND($H7&gt;0,$H4=50,$B7&lt;2,$J3&gt;0,$J3&lt;500,$F7=0),150/$J3,0)</f>
        <v>0</v>
      </c>
      <c r="AF2" s="165">
        <f ca="1">IF(AND($H7&gt;0,$H4=100,$J3&gt;0,$J3&lt;500,$B7&lt;2,$F7=0),(BV5/$J3)+($BT$2*$B7),0)</f>
        <v>0</v>
      </c>
      <c r="AG2" s="151">
        <f ca="1">IF(AND($H7&gt;0,$H4=25,$J3&gt;0,$J3&lt;500,$B7&gt;1.999,$F7=0),BV5/$J3,0)</f>
        <v>0</v>
      </c>
      <c r="AH2" s="152">
        <f ca="1">IF(AND($H7&gt;0,$H4=50,$J3&gt;0,$J3&lt;500,$B7&gt;1.999,$F7=0),150/$J3,0)</f>
        <v>0</v>
      </c>
      <c r="AI2" s="172">
        <f ca="1">IF(AND($H4&gt;0,$H7=3,$G7&lt;&gt;0,$J3&gt;0,$J3/$G7&gt;0,$J3/$G7&lt;500,$F7=1),BS2/$J3,0)</f>
        <v>0</v>
      </c>
      <c r="AJ2" s="150">
        <f ca="1">IF(AND($H4=0,$H7=0,$J4&gt;0,$J4&lt;500,$B7&lt;2,$F7=0),BJ2/$J4,0)</f>
        <v>0</v>
      </c>
      <c r="AK2" s="150">
        <f ca="1">IF(AND($H4=0,$H7=0,$J4&gt;0,$J4&lt;500,$B7&gt;1.999,$F7=0),BK2/$J4,0)</f>
        <v>0</v>
      </c>
      <c r="AL2" s="151">
        <f ca="1">IF(AND($H7&gt;0,$H4=25,$B7&lt;2,$J4&gt;0,$J4&lt;500,$F7=0),BV5/$J4,0)</f>
        <v>0</v>
      </c>
      <c r="AM2" s="151">
        <f ca="1">IF(AND($H7&gt;0,$H4=50,$B7&lt;2,$J4&gt;0,$J4&lt;500,$F7=0),BV5/$J4,0)</f>
        <v>0</v>
      </c>
      <c r="AN2" s="151">
        <f ca="1">IF(AND($H7&gt;0,$H4=100,$J4&gt;0,$J4&lt;500,$B7&lt;2,$F7=0),(BV5/$J4)+($BT$2*$B7),0)</f>
        <v>0</v>
      </c>
      <c r="AO2" s="152">
        <f ca="1">IF(AND($H7&gt;0,$H4=25,$J4&gt;0,$J4&lt;500,$B7&gt;1.999,$F7=0),BV5/$J4,0)</f>
        <v>0</v>
      </c>
      <c r="AP2" s="152">
        <f ca="1">IF(AND($H7&gt;0,$H4=50,$J4&gt;0,$J4&lt;500,$B7&gt;1.999,$F7=0),150/$J4,0)</f>
        <v>0</v>
      </c>
      <c r="AQ2" s="152">
        <f ca="1">IF(AND($H7&gt;0,$H4=100,$J4&gt;0,$J4&lt;500,$B7&gt;1.999,$F7=0),(BV5/$J4)+($BT$2*$B7),0)</f>
        <v>0</v>
      </c>
      <c r="AR2" s="165">
        <f ca="1">IF(AND($H4=0,$H7=0,$G7&lt;&gt;0,$J4&gt;0,$J4/$G7&lt;500,$J4/$G7&gt;0,$F7=1),BP2/$J4,0)</f>
        <v>0</v>
      </c>
      <c r="AS2" s="151">
        <f ca="1">IF(AND($H4&gt;0,$H7=1,$G7&lt;&gt;0,$J4&gt;0,$J4/$G7&lt;500,$J4/$G7&gt;0,$F7=1),BQ2/$J4,0)</f>
        <v>0</v>
      </c>
      <c r="AT2" s="152">
        <f ca="1">IF(AND($H4&gt;0,$H7=2,$G7&lt;&gt;0,$J4&gt;0,$J4/$G7&lt;500,$J4/$G7&gt;0,$F7=1),BR2/$J4,0)</f>
        <v>0</v>
      </c>
      <c r="AU2" s="172">
        <f ca="1">IF(AND($H4&gt;0,$H7=3,$G7&lt;&gt;0,$J4&gt;0,$J4/$G7&lt;500,$J4/$G7&gt;0,$F7=1),BS2/$J4,0)</f>
        <v>0</v>
      </c>
      <c r="AV2" s="150">
        <f ca="1">IF(AND($H4=0,$H7=0,$J5&gt;0,$J5&lt;500,$B7&lt;2,$F7=0),BJ2/$J5,0)</f>
        <v>0</v>
      </c>
      <c r="AW2" s="150">
        <f ca="1">IF(AND($H4=0,$H7=0,$J5&gt;0,$J5&lt;500,$B7&gt;1.999,$F7=0),BK2/$J5,0)</f>
        <v>0</v>
      </c>
      <c r="AX2" s="151">
        <f ca="1">IF(AND($H7&gt;0,$H4=25,$B7&lt;2,$J5&gt;0,$J5&lt;500,$F7=0),BV5/$J5,0)</f>
        <v>0</v>
      </c>
      <c r="AY2" s="151">
        <f ca="1">IF(AND($H7&gt;0,$H4=50,$B7&lt;2,$J5&gt;0,$J5&lt;500,$F7=0),150/$J5,0)</f>
        <v>0</v>
      </c>
      <c r="AZ2" s="151">
        <f ca="1">IF(AND($H7&gt;0,$H4=100,$B7&lt;2,$J5&gt;0,$J5&lt;500,$F7=0),(BV5/$J5)+($BT$2*$B7),0)</f>
        <v>0</v>
      </c>
      <c r="BA2" s="152">
        <f ca="1">IF(AND($H7&gt;0,$H4=25,$J5&gt;0,$J5&lt;500,$B7&gt;1.999,$F7=0),BV5/$J5,0)</f>
        <v>0</v>
      </c>
      <c r="BB2" s="152">
        <f ca="1">IF(AND($H7&gt;0,$H4=50,$J5&gt;0,$J5&lt;500,$B7&gt;1.999,$F7=0),150/$J5,0)</f>
        <v>0</v>
      </c>
      <c r="BC2" s="152">
        <f ca="1">IF(AND($H7&gt;0,$H4=100,$J5&gt;0,$J5&lt;500,$B7&gt;1.999,$F7=0),(BV5/$J5)+($BT$2*$B7),0)</f>
        <v>0</v>
      </c>
      <c r="BD2" s="165">
        <f ca="1">IFERROR(IF(AND($H4=0,$H7=0,$G7&lt;&gt;0,$J5&gt;0,$J5/$G7&lt;500,$J5/$G7&gt;0,$F7=1),BP2/$J5,0),0)</f>
        <v>0</v>
      </c>
      <c r="BE2" s="151">
        <f ca="1">IFERROR(IF(AND($H4&gt;0,$H7=1,$G7&lt;&gt;0,$J5&gt;0,$J5/$G7&lt;500,$J5/$G7&gt;0,$F7=1),BQ2/$J5,0),0)</f>
        <v>0</v>
      </c>
      <c r="BF2" s="152">
        <f ca="1">IFERROR(IF(AND($H4&gt;0,$H7=2,$G7&lt;&gt;0,$J5&gt;0,$J5/$G7&lt;500,$J5/$G7&gt;0,$F7=1),BR2/$J5,0),0)</f>
        <v>0</v>
      </c>
      <c r="BG2" s="172">
        <f ca="1">IFERROR(IF(AND($H4&gt;0,$H7=3,$G7&lt;&gt;0,$J5&gt;0,$J5/$G7&lt;500,$J5/$G7&gt;0,$F7=1),BS2/$J5,0),0)</f>
        <v>0</v>
      </c>
      <c r="BI2" t="s">
        <v>983</v>
      </c>
      <c r="BJ2" s="117">
        <v>100</v>
      </c>
      <c r="BK2" s="117">
        <v>110</v>
      </c>
      <c r="BL2" s="116" t="s">
        <v>958</v>
      </c>
      <c r="BM2" s="116" t="s">
        <v>959</v>
      </c>
      <c r="BN2" s="146" t="s">
        <v>958</v>
      </c>
      <c r="BO2" s="146" t="s">
        <v>959</v>
      </c>
      <c r="BP2" s="117">
        <v>160</v>
      </c>
      <c r="BQ2" s="116">
        <v>260</v>
      </c>
      <c r="BR2" s="146">
        <v>300</v>
      </c>
      <c r="BS2" s="173">
        <v>340</v>
      </c>
      <c r="BT2" s="117">
        <v>0.17</v>
      </c>
    </row>
    <row r="3" spans="1:74" ht="13.2">
      <c r="A3" s="260"/>
      <c r="B3" s="274"/>
      <c r="C3" s="174">
        <f>Kalk!C4</f>
        <v>0</v>
      </c>
      <c r="D3" s="174">
        <f>Kalk!E4</f>
        <v>0</v>
      </c>
      <c r="E3" s="147">
        <f>Kalk!G4</f>
        <v>0</v>
      </c>
      <c r="F3" s="147">
        <f ca="1">IF(KLEJENIE!E7=1,Kalk!H4,Kalk!I4)</f>
        <v>63</v>
      </c>
      <c r="G3" s="147">
        <f ca="1">Kalk!I6</f>
        <v>22</v>
      </c>
      <c r="H3" s="269"/>
      <c r="I3" s="269"/>
      <c r="J3" s="88">
        <f ca="1">IF(KLEJENIE!E$7=1,Kalk!AH4*2,Kalk!AH4)</f>
        <v>0</v>
      </c>
      <c r="K3" s="150">
        <f ca="1">IF(AND($C7=1,$J3&gt;0),IF($H4=100, SUM(X7:AI7)+($BT$2*$B7), SUM(X7:AI7)),IF(AND($B4=1,$J3&gt;0),SUM(X7:AI7) + IF(AND($H7&gt;1,$F7=0), $H7*0.05-0.05, 0),0))</f>
        <v>0</v>
      </c>
      <c r="L3" s="150">
        <f ca="1">IF(AND($H4=0,$H7=0,$B7&lt;2,$J2&gt;499,$J2&lt;1000,$F7=0),$BJ$3,0)</f>
        <v>0</v>
      </c>
      <c r="M3" s="150">
        <f ca="1">IF(AND($H4=0,$H7=0,$B7&gt;1.999,$J2&gt;499,$J2&lt;1000,$F7=0),$BK$3,0)</f>
        <v>0</v>
      </c>
      <c r="N3" s="151">
        <f ca="1">IF(AND($H4=25,$H7&gt;0,$B7&lt;2,$J2&gt;499,$J2&lt;1000,$F7=0),$BL$3,0)</f>
        <v>0</v>
      </c>
      <c r="O3" s="151">
        <f ca="1">IF(AND($H4=50,$H7&gt;0,$B7&lt;2,$J2&gt;499,$J2&lt;1000,$F7=0),$BM$3,0)</f>
        <v>0</v>
      </c>
      <c r="P3" s="151">
        <f ca="1">IF(AND($H4=100,$H7&gt;0,$J2&gt;499,$J2&lt;1000,$B7&lt;2,$F7=0),$BM$3+($BT$2*$B7),0)</f>
        <v>0</v>
      </c>
      <c r="Q3" s="152">
        <f ca="1">IF(AND($H4=25,$H7&gt;0,$B7&gt;1.999,$J2&gt;499,$J2&lt;1000,$F7=0),$BN$3,0)</f>
        <v>0</v>
      </c>
      <c r="R3" s="152">
        <f ca="1">IF(AND($H4=50,$H7&gt;0,$J2&gt;499,$J2&lt;1000,$B7&gt;1.999,$F7=0),$BO$3,0)</f>
        <v>0</v>
      </c>
      <c r="S3" s="152">
        <f ca="1">IF(AND($H4=100,$H7&gt;0,$J2&gt;499,$J2&lt;1000,$B7&gt;1.999,$F7=0),$BO$3+($BT$2*$B7),0)</f>
        <v>0</v>
      </c>
      <c r="T3" s="165">
        <f ca="1">IF(AND($H4=0,$H7=0,$J2/$G7&lt;1000,$J2/$G7&gt;499,$F7=1),$BP$3/$G7,0)</f>
        <v>0</v>
      </c>
      <c r="U3" s="151">
        <f ca="1">IFERROR(IF(AND($H4&gt;0,$H7=1,$J2/$G7&lt;1000,$J2/$G7&gt;499,$F7=1),$BQ$3/$G7,0),0)</f>
        <v>0</v>
      </c>
      <c r="V3" s="152">
        <f ca="1">IFERROR(IF(AND($H4&gt;0,$H7=2,$J2/$G7&lt;1000,$J2/$G7&gt;499,$F7=1),$BR$3/$G7,0),0)</f>
        <v>0</v>
      </c>
      <c r="W3" s="172">
        <f ca="1">IFERROR(IF(AND($H4&gt;0,$H7=3,$J2/$G7&lt;1000,$J2/$G7&gt;499,$F7=1),$BS$3/$G7,0),0)</f>
        <v>0</v>
      </c>
      <c r="X3" s="150">
        <f ca="1">IF(AND($H4=0,$H7=0,$B7&lt;2,$J3&gt;499,$J3&lt;1000,$F7=0),$BJ$3,0)</f>
        <v>0</v>
      </c>
      <c r="Y3" s="150">
        <f ca="1">IF(AND($H4=0,$H7=0,$B7&gt;1.999,$J3&gt;499,$J3&lt;1000,$F7=0),$BK$3,0)</f>
        <v>0</v>
      </c>
      <c r="Z3" s="151">
        <f ca="1">IF(AND($H4=25,$H7&gt;0,$B7&lt;2,$J3&gt;499,$J3&lt;1000,$F7=0),$BL$3,0)</f>
        <v>0</v>
      </c>
      <c r="AA3" s="151">
        <f ca="1">IF(AND($H4=50,$H7&gt;0,$B7&lt;2,$J3&gt;499,$J3&lt;1000,$F7=0),$BM$3,0)</f>
        <v>0</v>
      </c>
      <c r="AB3" s="151">
        <f ca="1">IF(AND($H4=100,$H7&gt;0,$J3&gt;499,$J3&lt;1000,$B7&lt;2,$F7=0),$BM$3+($BT$2*$B7),0)</f>
        <v>0</v>
      </c>
      <c r="AC3" s="152">
        <f ca="1">IF(AND($H4=25,$H7&gt;0,$B7&gt;1.999,$J3&gt;499,$J3&lt;1000,$F7=0),$BN$3,0)</f>
        <v>0</v>
      </c>
      <c r="AD3" s="152">
        <f ca="1">IF(AND($H4=50,$H7&gt;0,$J3&gt;499,$J3&lt;1000,$B7&gt;1.999,$F7=0),$BO$3,0)</f>
        <v>0</v>
      </c>
      <c r="AE3" s="152">
        <f ca="1">IF(AND($H4=50,$H7&gt;0,$B7&lt;2,$J3&gt;499,$J3&lt;1000,$F7=0),$BM$3,0)</f>
        <v>0</v>
      </c>
      <c r="AF3" s="165">
        <f ca="1">IF(AND($H4=100,$H7&gt;0,$J3&gt;499,$J3&lt;1000,$B7&lt;2,$F7=0),$BM$3+($BT$2*$B7),0)</f>
        <v>0</v>
      </c>
      <c r="AG3" s="151">
        <f ca="1">IF(AND($H4=25,$H7&gt;0,$B7&gt;1.999,$J3&gt;499,$J3&lt;1000,$F7=0),$BN$3,0)</f>
        <v>0</v>
      </c>
      <c r="AH3" s="152">
        <f ca="1">IF(AND($H4=50,$H7&gt;0,$J3&gt;499,$J3&lt;1000,$B7&gt;1.999,$F7=0),$BO$3,0)</f>
        <v>0</v>
      </c>
      <c r="AI3" s="172">
        <f ca="1">IF(AND($H4&gt;0,$H7=3,$G7&lt;&gt;0,$J3/$G7&gt;499,$J3/$G7&lt;1000,$F7=1),$BS$3/$G7,0)</f>
        <v>0</v>
      </c>
      <c r="AJ3" s="150">
        <f ca="1">IF(AND($H4=0,$H7=0,$B7&lt;2,$J4&gt;499,$J4&lt;1000,$F7=0),$BJ$3,0)</f>
        <v>0</v>
      </c>
      <c r="AK3" s="150">
        <f ca="1">IF(AND($H4=0,$H7=0,$B7&gt;1.999,$J4&gt;499,$J4&lt;1000,$F7=0),$BK$3,0)</f>
        <v>0</v>
      </c>
      <c r="AL3" s="151">
        <f ca="1">IF(AND($H4=25,$H7&gt;0,$B7&lt;2,$J4&gt;499,$J4&lt;1000,$F7=0),$BL$3,0)</f>
        <v>0</v>
      </c>
      <c r="AM3" s="151">
        <f ca="1">IF(AND($H4=50,$H7&gt;0,$B7&lt;2,$J4&gt;499,$J4&lt;1000,$F7=0),$BM$3,0)</f>
        <v>0</v>
      </c>
      <c r="AN3" s="151">
        <f ca="1">IF(AND($H4=100,$H7&gt;0,$J4&gt;499,$J4&lt;1000,$B7&lt;2,$F7=0),$BM$3+($BT$2*$B7),0)</f>
        <v>0</v>
      </c>
      <c r="AO3" s="152">
        <f ca="1">IF(AND($H4=25,$H7&gt;0,$B7&gt;1.999,$J4&gt;499,$J4&lt;1000,$F7=0),$BN$3,0)</f>
        <v>0</v>
      </c>
      <c r="AP3" s="152">
        <f ca="1">IF(AND($H4=50,$H7&gt;0,$J4&gt;499,$J4&lt;1000,$B7&gt;1.999,$F7=0),$BO$3,0)</f>
        <v>0</v>
      </c>
      <c r="AQ3" s="152">
        <f ca="1">IF(AND($H4=100,$H7&gt;0,$J4&gt;499,$J4&lt;1000,$B7&gt;1.999,$F7=0),$BO$3+($BT$2*$B7),0)</f>
        <v>0</v>
      </c>
      <c r="AR3" s="165">
        <f ca="1">IF(AND($H4=0,$H7=0,$G7&lt;&gt;0,$J4/$G7&lt;1000,$J4/$G7&gt;499,$F7=1),$BP$3/$G7,0)</f>
        <v>0</v>
      </c>
      <c r="AS3" s="151">
        <f ca="1">IF(AND($H4&gt;0,$H7=1,$G7&lt;&gt;0,$J4/$G7&lt;1000,$J4/$G7&gt;499,$F7=1),$BQ$3/$G7,0)</f>
        <v>0</v>
      </c>
      <c r="AT3" s="152">
        <f ca="1">IF(AND($H4&gt;0,$H7=2,$G7&lt;&gt;0,$J4/$G7&lt;1000,$J4/$G7&gt;499,$F7=1),$BR$3/$G7,0)</f>
        <v>0</v>
      </c>
      <c r="AU3" s="172">
        <f ca="1">IF(AND($H4&gt;0,$H7=3,$G7&lt;&gt;0,$J4/$G7&lt;1000,$J4/$G7&gt;499,$F7=1),$BS$3/$G7,0)</f>
        <v>0</v>
      </c>
      <c r="AV3" s="150">
        <f ca="1">IF(AND($H4=0,$H7=0,$B7&lt;2,$J5&gt;499,$J5&lt;1000,$F7=0),$BJ$3,0)</f>
        <v>0</v>
      </c>
      <c r="AW3" s="150">
        <f ca="1">IF(AND($H4=0,$H7=0,$B7&gt;1.999,$J5&gt;499,$J5&lt;1000,$F7=0),$BK$3,0)</f>
        <v>0</v>
      </c>
      <c r="AX3" s="151">
        <f ca="1">IF(AND($H4=25,$H7&gt;0,$B7&lt;2,$J5&gt;499,$J5&lt;1000,$F7=0),$BL$3,0)</f>
        <v>0</v>
      </c>
      <c r="AY3" s="151">
        <f ca="1">IF(AND($H4=50,$H7&gt;0,$B7&lt;2,$J5&gt;499,$J5&lt;1000,$F7=0),$BM$3,0)</f>
        <v>0</v>
      </c>
      <c r="AZ3" s="151">
        <f ca="1">IF(AND($H4=100,$H7&gt;0,$B7&lt;2,$J5&gt;499,$J5&lt;1000,$F7=0),$BM$3+($BT$2*$B7),0)</f>
        <v>0</v>
      </c>
      <c r="BA3" s="152">
        <f ca="1">IF(AND($H4=25,$H7&gt;0,$B7&gt;1.999,$J5&gt;499,$J5&lt;1000,$F7=0),$BN$3,0)</f>
        <v>0</v>
      </c>
      <c r="BB3" s="152">
        <f ca="1">IF(AND($H4=50,$H7&gt;0,$J5&gt;499,$J5&lt;1000,$B7&gt;1.999,$F7=0),$BO$3,0)</f>
        <v>0</v>
      </c>
      <c r="BC3" s="152">
        <f ca="1">IF(AND($H4=100,$H7&gt;0,$J5&gt;499,$J5&lt;1000,$B7&gt;1.999,$F7=0),$BO$3+($BT$2*$B7),0)</f>
        <v>0</v>
      </c>
      <c r="BD3" s="165">
        <f ca="1">IFERROR(IF(AND($H4=0,$H7=0,$G7&lt;&gt;0,$J5/$G7&lt;1000,$J5/$G7&gt;499,$F7=1),$BP$3/$G7,0),0)</f>
        <v>0</v>
      </c>
      <c r="BE3" s="151">
        <f ca="1">IFERROR(IF(AND($H4&gt;0,$H7=1,$G7&lt;&gt;0,$J5/$G7&lt;1000,$J5/$G7&gt;499,$F7=1),$BQ$3/$G7,0),0)</f>
        <v>0</v>
      </c>
      <c r="BF3" s="152">
        <f ca="1">IFERROR(IF(AND($H4&gt;0,$H7=2,$G7&lt;&gt;0,$J5/$G7&lt;1000,$J5/$G7&gt;499,$F7=1),$BR$3/$G7,0),0)</f>
        <v>0</v>
      </c>
      <c r="BG3" s="172">
        <f ca="1">IFERROR(IF(AND($H4&gt;0,$H7=3,$G7&lt;&gt;0,$J5/$G7&lt;1000,$J5/$G7&gt;499,$F7=1),$BS$3/$G7,0),0)</f>
        <v>0</v>
      </c>
      <c r="BI3" t="s">
        <v>984</v>
      </c>
      <c r="BJ3" s="117">
        <v>0.2</v>
      </c>
      <c r="BK3" s="117">
        <v>0.24</v>
      </c>
      <c r="BL3" s="116">
        <v>0.22</v>
      </c>
      <c r="BM3" s="116">
        <v>0.26</v>
      </c>
      <c r="BN3" s="146">
        <v>0.28000000000000003</v>
      </c>
      <c r="BO3" s="146">
        <v>0.33</v>
      </c>
      <c r="BP3" s="117">
        <v>0.32</v>
      </c>
      <c r="BQ3" s="116">
        <v>0.37</v>
      </c>
      <c r="BR3" s="146">
        <v>0.42</v>
      </c>
      <c r="BS3" s="173">
        <v>0.47</v>
      </c>
    </row>
    <row r="4" spans="1:74" ht="13.2">
      <c r="A4" s="260"/>
      <c r="B4" s="153">
        <f ca="1">IF(SUM(C4:G4)+I4=6,1,0)</f>
        <v>0</v>
      </c>
      <c r="C4" s="88">
        <f ca="1">IF(KLEJENIE!E7=1,1,IF(AND(C3&gt;267,C3&lt;2251),1,0))</f>
        <v>0</v>
      </c>
      <c r="D4" s="88">
        <f>IF((D3&gt;=50)*AND(D3&lt;1001),1,0)</f>
        <v>0</v>
      </c>
      <c r="E4" s="88">
        <f>IF((E3&gt;49)*AND(E3&lt;1401),1,0)</f>
        <v>0</v>
      </c>
      <c r="F4" s="88">
        <f ca="1">IF((F3&gt;599)*AND(F3&lt;2856),1,0)</f>
        <v>0</v>
      </c>
      <c r="G4" s="88" cm="1">
        <f t="array" aca="1" ref="G4" ca="1">IF(AND(G3&gt;399, IF(C7=1, G3&lt;1581, INDIRECT("'"&amp;Kalk!B4&amp;"'!L3")=1)),1,0)</f>
        <v>0</v>
      </c>
      <c r="H4" s="154">
        <f>Kalk!M3</f>
        <v>0</v>
      </c>
      <c r="I4" s="154">
        <f ca="1">IF(E3+((G3-E3)/2)&lt;1590,1,0)</f>
        <v>1</v>
      </c>
      <c r="J4" s="88">
        <f ca="1">IF(KLEJENIE!E$7=1,Kalk!AH5*2,Kalk!AH5)</f>
        <v>0</v>
      </c>
      <c r="K4" s="150">
        <f ca="1">IF(AND($C7=1,$J4&gt;0),IF($H4=100, SUM(AJ7:AU7)+($BT$2*$B7), SUM(AJ7:AU7)),IF(AND($B4=1,$J4&gt;0),SUM(AJ7:AU7) + IF(AND($H7&gt;1,$F7=0), $H7*0.05-0.05, 0),0))</f>
        <v>0</v>
      </c>
      <c r="L4" s="150">
        <f ca="1">IF(AND($H4=0,$H7=0,$B7&lt;2,$J2&gt;999,$J2&lt;3000,$F7=0),$BJ$4,0)</f>
        <v>0.13</v>
      </c>
      <c r="M4" s="150">
        <f ca="1">IF(AND($H4=0,$H7=0,$B7&gt;1.999,$J2&gt;999,$J2&lt;3000,$F7=0),$BK$4,0)</f>
        <v>0</v>
      </c>
      <c r="N4" s="151">
        <f ca="1">IF(AND($H4=25,$H7&gt;0,$B7&lt;2,$J2&gt;999,$J2&lt;3000,$F7=0),$BL$4,0)</f>
        <v>0</v>
      </c>
      <c r="O4" s="151">
        <f ca="1">IF(AND($H4=50,$H7&gt;0,$B7&lt;2,$J2&gt;999,$J2&lt;3000,$F7=0),$BM$4,0)</f>
        <v>0</v>
      </c>
      <c r="P4" s="151">
        <f ca="1">IF(AND($H4=100,$H7&gt;0,$B7&lt;2,$J2&gt;999,$J2&lt;3000,$F7=0),$BM$4+($BT$2*$B7),0)</f>
        <v>0</v>
      </c>
      <c r="Q4" s="152">
        <f ca="1">IF(AND($H4=25,$H7&gt;0,$B7&gt;1.999,$J2&gt;999,$J2&lt;3000,$F7=0),$BN$4,0)</f>
        <v>0</v>
      </c>
      <c r="R4" s="152">
        <f ca="1">IF(AND($H4=50,$H7&gt;0,$B7&gt;1.999,$J2&gt;999,$J2&lt;3000,$F7=0),$BO$4,0)</f>
        <v>0</v>
      </c>
      <c r="S4" s="152">
        <f ca="1">IF(AND($H4=100,$H7&gt;0,$J2&gt;999,$J2&lt;3000,$B7&gt;1.999,$F7=0),$BO$4+($BT$2*$B7),0)</f>
        <v>0</v>
      </c>
      <c r="T4" s="165">
        <f ca="1">IF(AND($H4=0,$H7=0,$J2/$G7&lt;3000,$J2/$G7&gt;999,$F7=1),$BP$4/$G7,0)</f>
        <v>0</v>
      </c>
      <c r="U4" s="151">
        <f ca="1">IFERROR(IF(AND($H4&gt;0,$H7=1,$J2/$G7&lt;3000,$J2/$G7&gt;999,$F7=1),$BQ$4/$G7,0),0)</f>
        <v>0</v>
      </c>
      <c r="V4" s="152">
        <f ca="1">IFERROR(IF(AND($H4&gt;0,$H7=2,$J2/$G7&lt;3000,$J2/$G7&gt;999,$F7=1),$BR$4/$G7,0),0)</f>
        <v>0</v>
      </c>
      <c r="W4" s="172">
        <f ca="1">IFERROR(IF(AND($H4&gt;0,$H7=3,$J2/$G7&lt;3000,$J2/$G7&gt;999,$F7=1),$BS$4/$G7,0),0)</f>
        <v>0</v>
      </c>
      <c r="X4" s="150">
        <f ca="1">IF(AND($H4=0,$H7=0,$B7&lt;2,$J3&gt;999,$J3&lt;3000,$F7=0),$BJ$4,0)</f>
        <v>0</v>
      </c>
      <c r="Y4" s="150">
        <f ca="1">IF(AND($H4=0,$H7=0,$B7&gt;1.999,$J3&gt;999,$J3&lt;3000,$F7=0),$BK$4,0)</f>
        <v>0</v>
      </c>
      <c r="Z4" s="151">
        <f ca="1">IF(AND($H4=25,$H7&gt;0,$B7&lt;2,$J3&gt;999,$J3&lt;3000,$F7=0),$BL$4,0)</f>
        <v>0</v>
      </c>
      <c r="AA4" s="151">
        <f ca="1">IF(AND($H4=50,$H7&gt;0,$B7&lt;2,$J3&gt;999,$J3&lt;3000,$F7=0),$BM$4,0)</f>
        <v>0</v>
      </c>
      <c r="AB4" s="151">
        <f ca="1">IF(AND($H4=100,$H7&gt;0,$B7&lt;2,$J3&gt;999,$J3&lt;3000,$F7=0),$BM$4+($BT$2*$B7),0)</f>
        <v>0</v>
      </c>
      <c r="AC4" s="152">
        <f ca="1">IF(AND($H4=25,$H7&gt;0,$B7&gt;1.999,$J3&gt;999,$J3&lt;3000,$F7=0),$BN$4,0)</f>
        <v>0</v>
      </c>
      <c r="AD4" s="152">
        <f ca="1">IF(AND($H4=50,$H7&gt;0,$B7&gt;1.999,$J3&gt;999,$J3&lt;3000,$F7=0),$BO$4,0)</f>
        <v>0</v>
      </c>
      <c r="AE4" s="152">
        <f ca="1">IF(AND($H4=50,$H7&gt;0,$B7&lt;2,$J3&gt;999,$J3&lt;3000,$F7=0),$BM$4,0)</f>
        <v>0</v>
      </c>
      <c r="AF4" s="165">
        <f ca="1">IF(AND($H4=100,$H7&gt;0,$B7&lt;2,$J3&gt;999,$J3&lt;3000,$F7=0),$BM$4+($BT$2*$B7),0)</f>
        <v>0</v>
      </c>
      <c r="AG4" s="151">
        <f ca="1">IF(AND($H4=25,$H7&gt;0,$B7&gt;1.999,$J3&gt;999,$J3&lt;3000,$F7=0),$BN$4,0)</f>
        <v>0</v>
      </c>
      <c r="AH4" s="152">
        <f ca="1">IF(AND($H4=50,$H7&gt;0,$B7&gt;1.999,$J3&gt;999,$J3&lt;3000,$F7=0),$BO$4,0)</f>
        <v>0</v>
      </c>
      <c r="AI4" s="172">
        <f ca="1">IF(AND($H4&gt;0,$H7=3,$G7&lt;&gt;0,$J3/$G7&gt;999,$J3/$G7&lt;3000,$F7=1),$BS$4/$G7,0)</f>
        <v>0</v>
      </c>
      <c r="AJ4" s="150">
        <f ca="1">IF(AND($H4=0,$H7=0,$B7&lt;2,$J4&gt;999,$J4&lt;3000,$F7=0),$BJ$4,0)</f>
        <v>0</v>
      </c>
      <c r="AK4" s="150">
        <f ca="1">IF(AND($H4=0,$H7=0,$B7&gt;1.999,$J4&gt;999,$J4&lt;3000,$F7=0),$BK$4,0)</f>
        <v>0</v>
      </c>
      <c r="AL4" s="151">
        <f ca="1">IF(AND($H4=25,$H7&gt;0,$B7&lt;2,$J4&gt;999,$J4&lt;3000,$F7=0),$BL$4,0)</f>
        <v>0</v>
      </c>
      <c r="AM4" s="151">
        <f ca="1">IF(AND($H4=50,$H7&gt;0,$B7&lt;2,$J4&gt;999,$J4&lt;3000,$F7=0),$BM$4,0)</f>
        <v>0</v>
      </c>
      <c r="AN4" s="151">
        <f ca="1">IF(AND($H4=100,$H7&gt;0,$B7&lt;2,$J4&gt;999,$J4&lt;3000,$F7=0),$BM$4+($BT$2*$B7),0)</f>
        <v>0</v>
      </c>
      <c r="AO4" s="152">
        <f ca="1">IF(AND($H4=25,$H7&gt;0,$B7&gt;1.999,$J4&gt;999,$J4&lt;3000,$F7=0),$BN$4,0)</f>
        <v>0</v>
      </c>
      <c r="AP4" s="152">
        <f ca="1">IF(AND($H4=50,$H7&gt;0,$B7&gt;1.999,$J4&gt;999,$J4&lt;3000,$F7=0),$BO$4,0)</f>
        <v>0</v>
      </c>
      <c r="AQ4" s="152">
        <f ca="1">IF(AND($H4=100,$H7&gt;0,$J4&gt;999,$J4&lt;3000,$B7&gt;1.999,$F7=0),$BO$4+($BT$2*$B7),0)</f>
        <v>0</v>
      </c>
      <c r="AR4" s="165">
        <f ca="1">IF(AND($H4=0,$H7=0,$G7&lt;&gt;0,$J4/$G7&lt;3000,$J4/$G7&gt;999,$F7=1),$BP$4/$G7,0)</f>
        <v>0</v>
      </c>
      <c r="AS4" s="151">
        <f ca="1">IF(AND($H4&gt;0,$H7=1,$G7&lt;&gt;0,$J4/$G7&lt;3000,$J4/$G7&gt;999,$F7=1),$BQ$4/$G7,0)</f>
        <v>0</v>
      </c>
      <c r="AT4" s="152">
        <f ca="1">IF(AND($H4&gt;0,$H7=2,$G7&lt;&gt;0,$J4/$G7&lt;3000,$J4/$G7&gt;999,$F7=1),$BR$4/$G7,0)</f>
        <v>0</v>
      </c>
      <c r="AU4" s="172">
        <f ca="1">IF(AND($H4&gt;0,$H7=3,$G7&lt;&gt;0,$J4/$G7&lt;3000,$J4/$G7&gt;999,$F7=1),$BS$4/$G7,0)</f>
        <v>0</v>
      </c>
      <c r="AV4" s="150">
        <f ca="1">IF(AND($H4=0,$H7=0,$B7&lt;2,$J5&gt;999,$J5&lt;3000,$F7=0),$BJ$4,0)</f>
        <v>0</v>
      </c>
      <c r="AW4" s="150">
        <f ca="1">IF(AND($H4=0,$H7=0,$B7&gt;1.999,$J5&gt;999,$J5&lt;3000,$F7=0),$BK$4,0)</f>
        <v>0</v>
      </c>
      <c r="AX4" s="151">
        <f ca="1">IF(AND($H4=25,$H7&gt;0,$B7&lt;2,$J5&gt;999,$J5&lt;3000,$F7=0),$BL$4,0)</f>
        <v>0</v>
      </c>
      <c r="AY4" s="151">
        <f ca="1">IF(AND($H4=50,$H7&gt;0,$B7&lt;2,$J5&gt;999,$J5&lt;3000,$F7=0),$BM$4,0)</f>
        <v>0</v>
      </c>
      <c r="AZ4" s="151">
        <f ca="1">IF(AND($H4=100,$H7&gt;0,$B7&lt;2,$J5&gt;999,$J5&lt;3000,$F7=0),$BM$4+($BT$2*$B7),0)</f>
        <v>0</v>
      </c>
      <c r="BA4" s="152">
        <f ca="1">IF(AND($H4=25,$H7&gt;0,$B7&gt;1.999,$J5&gt;999,$J5&lt;3000,$F7=0),$BN$4,0)</f>
        <v>0</v>
      </c>
      <c r="BB4" s="152">
        <f ca="1">IF(AND($H4=50,$H7&gt;0,$B7&gt;1.999,$J5&gt;999,$J5&lt;3000,$F7=0),$BO$4,0)</f>
        <v>0</v>
      </c>
      <c r="BC4" s="152">
        <f ca="1">IF(AND($H4=100,$H7&gt;0,$J5&gt;999,$J5&lt;3000,$B7&gt;1.999,$F7=0),$BO$4+($BT$2*$B7),0)</f>
        <v>0</v>
      </c>
      <c r="BD4" s="165">
        <f ca="1">IFERROR(IF(AND($H4=0,$H7=0,$G7&lt;&gt;0,$J5/$G7&lt;3000,$J5/$G7&gt;999,$F7=1),$BP$4/$G7,0),0)</f>
        <v>0</v>
      </c>
      <c r="BE4" s="151">
        <f ca="1">IFERROR(IF(AND($H4&gt;0,$H7=1,$G7&lt;&gt;0,$J5/$G7&lt;3000,$J5/$G7&gt;999,$F7=1),$BQ$4/$G7,0),0)</f>
        <v>0</v>
      </c>
      <c r="BF4" s="152">
        <f ca="1">IFERROR(IF(AND($H4&gt;0,$H7=2,$G7&lt;&gt;0,$J5/$G7&lt;3000,$J5/$G7&gt;999,$F7=1),$BR$4/$G7,0),0)</f>
        <v>0</v>
      </c>
      <c r="BG4" s="172">
        <f ca="1">IFERROR(IF(AND($H4&gt;0,$H7=3,$G7&lt;&gt;0,$J5/$G7&lt;3000,$J5/$G7&gt;999,$F7=1),$BS$4/$G7,0),0)</f>
        <v>0</v>
      </c>
      <c r="BI4" t="s">
        <v>985</v>
      </c>
      <c r="BJ4" s="117">
        <v>0.13</v>
      </c>
      <c r="BK4" s="117">
        <v>0.15</v>
      </c>
      <c r="BL4" s="116">
        <v>0.15</v>
      </c>
      <c r="BM4" s="116">
        <v>0.16</v>
      </c>
      <c r="BN4" s="146">
        <v>0.17</v>
      </c>
      <c r="BO4" s="146">
        <v>0.21</v>
      </c>
      <c r="BP4" s="117">
        <v>0.22</v>
      </c>
      <c r="BQ4" s="116">
        <v>0.27</v>
      </c>
      <c r="BR4" s="175">
        <v>0.32</v>
      </c>
      <c r="BS4" s="173">
        <v>0.37</v>
      </c>
    </row>
    <row r="5" spans="1:74" ht="35.1" customHeight="1">
      <c r="A5" s="260"/>
      <c r="B5" s="275" t="s">
        <v>968</v>
      </c>
      <c r="C5" s="274" t="s">
        <v>986</v>
      </c>
      <c r="D5" s="268" t="s">
        <v>987</v>
      </c>
      <c r="E5" s="268"/>
      <c r="F5" s="275" t="s">
        <v>988</v>
      </c>
      <c r="G5" s="149" t="s">
        <v>989</v>
      </c>
      <c r="H5" s="269" t="s">
        <v>971</v>
      </c>
      <c r="I5" s="148" t="s">
        <v>964</v>
      </c>
      <c r="J5" s="88">
        <f ca="1">IF(KLEJENIE!E$7=1,Kalk!AH6*2,Kalk!AH6)</f>
        <v>0</v>
      </c>
      <c r="K5" s="150">
        <f ca="1">IF(AND($C7=1,$J5&gt;0),IF($H4=100, SUM(AV7:BG7)+($BT$2*$B7), SUM(AV7:BG7)),IF(AND($B4=1,$J5&gt;0),SUM(AV7:BG7) + IF(AND($H7&gt;1,$F7=0), $H7*0.05-0.05, 0),0))</f>
        <v>0</v>
      </c>
      <c r="L5" s="150">
        <f ca="1">IF(AND($H4=0,$H7=0,$B7&lt;2,$J2&gt;2999,$F7=0),$BJ$5,0)</f>
        <v>0</v>
      </c>
      <c r="M5" s="150">
        <f ca="1">IF(AND($H4=0,$H7=0,$B7&gt;1.999,$J2&gt;2999,$F7=0),$BK$5,0)</f>
        <v>0</v>
      </c>
      <c r="N5" s="151">
        <f ca="1">IF(AND($H4=25,$H7&gt;0,$B7&lt;2,$J2&gt;2999,$F7=0),$BL$5,0)</f>
        <v>0</v>
      </c>
      <c r="O5" s="151">
        <f ca="1">IF(AND($H4=50,$H7&gt;0,$B7&lt;2,$J2&gt;2999,$F7=0),$BM$5,0)</f>
        <v>0</v>
      </c>
      <c r="P5" s="151">
        <f ca="1">IF(AND($H4=100,$H7&gt;0,$J2&gt;2999,$B7&lt;2,$F7=0),$BM$5+($BT$2*$B7),0)</f>
        <v>0</v>
      </c>
      <c r="Q5" s="152">
        <f ca="1">IF(AND($H4=25,$H7&gt;0,$B7&gt;1.999,$J2&gt;2999,$F7=0),$BN$5,0)</f>
        <v>0</v>
      </c>
      <c r="R5" s="152">
        <f ca="1">IF(AND($H4=50,$H7&gt;0,$B7&gt;1.999,$J2&gt;2999,$F7=0),$BO$5,0)</f>
        <v>0</v>
      </c>
      <c r="S5" s="152">
        <f ca="1">IF(AND($H4=100,$H7&gt;0,$J2&gt;2999,$B7&gt;1.999,$F7=0),$BO$5+($BT$2*$B7),0)</f>
        <v>0</v>
      </c>
      <c r="T5" s="165">
        <f ca="1">IF(AND($H4=0,$H7=0,$J2/$G7&gt;2999,$F7=1),$BP$5/$G7,0)</f>
        <v>0</v>
      </c>
      <c r="U5" s="151">
        <f ca="1">IFERROR(IF(AND($H4&gt;0,$H7=1,$J2/$G7&gt;2999,$F7=1),$BQ$5/$G7,0),0)</f>
        <v>0</v>
      </c>
      <c r="V5" s="152">
        <f ca="1">IFERROR(IF(AND($H4&gt;0,$H7=2,$J2/$G7&gt;2999,$F7=1),$BR$5/$G7,0),0)</f>
        <v>0</v>
      </c>
      <c r="W5" s="172">
        <f ca="1">IFERROR(IF(AND($H4&gt;0,$H7=3,$J2/$G7&gt;2999,$F7=1),$BS$5/$G7,0),0)</f>
        <v>0</v>
      </c>
      <c r="X5" s="150">
        <f ca="1">IF(AND($H4=0,$H7=0,$B7&lt;2,$J3&gt;2999,$F7=0),$BJ$5,0)</f>
        <v>0</v>
      </c>
      <c r="Y5" s="150">
        <f ca="1">IF(AND($H4=0,$H7=0,$B7&gt;1.999,$J3&gt;2999,$F7=0),$BK$5,0)</f>
        <v>0</v>
      </c>
      <c r="Z5" s="151">
        <f ca="1">IF(AND($H4=25,$H7&gt;0,$B7&lt;2,$J3&gt;2999,$F7=0),$BL$5,0)</f>
        <v>0</v>
      </c>
      <c r="AA5" s="151">
        <f ca="1">IF(AND($H4=50,$H7&gt;0,$B7&lt;2,$J3&gt;2999,$F7=0),$BM$5,0)</f>
        <v>0</v>
      </c>
      <c r="AB5" s="151">
        <f ca="1">IF(AND($H4=100,$H7&gt;0,$J3&gt;2999,$B7&lt;2,$F7=0),$BM$5+($BT$2*$B7),0)</f>
        <v>0</v>
      </c>
      <c r="AC5" s="152">
        <f ca="1">IF(AND($H4=25,$H7&gt;0,$B7&gt;1.999,$J3&gt;2999,$F7=0),$BN$5,0)</f>
        <v>0</v>
      </c>
      <c r="AD5" s="152">
        <f ca="1">IF(AND($H4=50,$H7&gt;0,$B7&gt;1.999,$J3&gt;2999,$F7=0),$BO$5,0)</f>
        <v>0</v>
      </c>
      <c r="AE5" s="152">
        <f ca="1">IF(AND($H4=50,$H7&gt;0,$B7&lt;2,$J3&gt;2999,$F7=0),$BM$5,0)</f>
        <v>0</v>
      </c>
      <c r="AF5" s="165">
        <f ca="1">IF(AND($H4=100,$H7&gt;0,$J3&gt;2999,$B7&lt;2,$F7=0),$BM$5+($BT$2*$B7),0)</f>
        <v>0</v>
      </c>
      <c r="AG5" s="151">
        <f ca="1">IF(AND($H4=25,$H7&gt;0,$B7&gt;1.999,$J3&gt;2999,$F7=0),$BN$5,0)</f>
        <v>0</v>
      </c>
      <c r="AH5" s="152">
        <f ca="1">IF(AND($H4=50,$H7&gt;0,$B7&gt;1.999,$J3&gt;2999,$F7=0),$BO$5,0)</f>
        <v>0</v>
      </c>
      <c r="AI5" s="172">
        <f ca="1">IF(AND($H4&gt;0,$H7=3,$G7&lt;&gt;0,$J3/$G7&gt;2999,$F7=1),$BS$5/$G7,0)</f>
        <v>0</v>
      </c>
      <c r="AJ5" s="150">
        <f ca="1">IF(AND($H4=0,$H7=0,$B7&lt;2,$J4&gt;2999,$F7=0),$BJ$5,0)</f>
        <v>0</v>
      </c>
      <c r="AK5" s="150">
        <f ca="1">IF(AND($H4=0,$H7=0,$B7&gt;1.999,$J4&gt;2999,$F7=0),$BK$5,0)</f>
        <v>0</v>
      </c>
      <c r="AL5" s="151">
        <f ca="1">IF(AND($H4=25,$H7&gt;0,$B7&lt;2,$J4&gt;2999,$F7=0),$BL$5,0)</f>
        <v>0</v>
      </c>
      <c r="AM5" s="151">
        <f ca="1">IF(AND($H4=50,$H7&gt;0,$B7&lt;2,$J4&gt;2999,$F7=0),$BM$5,0)</f>
        <v>0</v>
      </c>
      <c r="AN5" s="151">
        <f ca="1">IF(AND($H4=100,$H7&gt;0,$J4&gt;2999,$B7&lt;2,$F7=0),$BM$5+($BT$2*$B7),0)</f>
        <v>0</v>
      </c>
      <c r="AO5" s="152">
        <f ca="1">IF(AND($H4=25,$H7&gt;0,$B7&gt;1.999,$J4&gt;2999,$F7=0),$BN$5,0)</f>
        <v>0</v>
      </c>
      <c r="AP5" s="152">
        <f ca="1">IF(AND($H4=50,$H7&gt;0,$B7&gt;1.999,$J4&gt;2999,$F7=0),$BO$5,0)</f>
        <v>0</v>
      </c>
      <c r="AQ5" s="152">
        <f ca="1">IF(AND($H4=100,$H7&gt;0,$J4&gt;2999,$B7&gt;1.999,$F7=0),$BO$5+($BT$2*$B7),0)</f>
        <v>0</v>
      </c>
      <c r="AR5" s="165">
        <f ca="1">IF(AND($H4=0,$H7=0,$G7&lt;&gt;0,$J4/$G7&gt;2999,$F7=1),$BP$5/$G7,0)</f>
        <v>0</v>
      </c>
      <c r="AS5" s="151">
        <f ca="1">IF(AND($H4&gt;0,$H7=1,$G7&lt;&gt;0,$J4/$G7&gt;2999,$F7=1),$BQ$5/$G7,0)</f>
        <v>0</v>
      </c>
      <c r="AT5" s="152">
        <f ca="1">IF(AND($H4&gt;0,$H7=2,$G7&lt;&gt;0,$J4/$G7&gt;2999,$F7=1),$BR$5/$G7,0)</f>
        <v>0</v>
      </c>
      <c r="AU5" s="172">
        <f ca="1">IF(AND($H4&gt;0,$H7=3,$G7&lt;&gt;0,$J4/$G7&gt;2999,$F7=1),$BS$5/$G7,0)</f>
        <v>0</v>
      </c>
      <c r="AV5" s="150">
        <f ca="1">IF(AND($H4=0,$H7=0,$B7&lt;2,$J5&gt;2999,$F7=0),$BJ$5,0)</f>
        <v>0</v>
      </c>
      <c r="AW5" s="150">
        <f ca="1">IF(AND($H4=0,$H7=0,$B7&gt;1.999,$J5&gt;2999,$F7=0),$BK$5,0)</f>
        <v>0</v>
      </c>
      <c r="AX5" s="151">
        <f ca="1">IF(AND($H4=25,$H7&gt;0,$B7&lt;2,$J5&gt;2999,$F7=0),$BL$5,0)</f>
        <v>0</v>
      </c>
      <c r="AY5" s="151">
        <f ca="1">IF(AND($H4=50,$H7&gt;0,$B7&lt;2,$J5&gt;2999,$F7=0),$BM$5,0)</f>
        <v>0</v>
      </c>
      <c r="AZ5" s="151">
        <f ca="1">IF(AND($H4=100,$H7&gt;0,$B7&lt;2,$J5&gt;2999,$F7=0),$BM$5+($BT$2*$B7),0)</f>
        <v>0</v>
      </c>
      <c r="BA5" s="152">
        <f ca="1">IF(AND($H4=25,$H7&gt;0,$B7&gt;1.999,$J5&gt;2999,$F7=0),$BN$5,0)</f>
        <v>0</v>
      </c>
      <c r="BB5" s="152">
        <f ca="1">IF(AND($H4=50,$H7&gt;0,$B7&gt;1.999,$J5&gt;2999,$F7=0),$BO$5,0)</f>
        <v>0</v>
      </c>
      <c r="BC5" s="152">
        <f ca="1">IF(AND($H4=100,$H7&gt;0,$J5&gt;2999,$B7&gt;1.999,$F7=0),$BO$5+($BT$2*$B7),0)</f>
        <v>0</v>
      </c>
      <c r="BD5" s="165">
        <f ca="1">IFERROR(IF(AND($H4=0,$H7=0,$G7&lt;&gt;0,$J5/$G7&gt;2999,$F7=1),$BP$5/$G7,0),0)</f>
        <v>0</v>
      </c>
      <c r="BE5" s="151">
        <f ca="1">IFERROR(IF(AND($H4&gt;0,$H7=1,$G7&lt;&gt;0,$J5/$G7&gt;2999,$F7=1),$BQ$5/$G7,0),0)</f>
        <v>0</v>
      </c>
      <c r="BF5" s="152">
        <f ca="1">IFERROR(IF(AND($H4&gt;0,$H7=2,$G7&lt;&gt;0,$J5/$G7&gt;2999,$F7=1),$BR$5/$G7,0),0)</f>
        <v>0</v>
      </c>
      <c r="BG5" s="172">
        <f ca="1">IFERROR(IF(AND($H4&gt;0,$H7=3,$G7&lt;&gt;0,$J5/$G7&gt;2999,$F7=1),$BS$5/$G7,0),0)</f>
        <v>0</v>
      </c>
      <c r="BI5" t="s">
        <v>990</v>
      </c>
      <c r="BJ5" s="117">
        <v>0.11</v>
      </c>
      <c r="BK5" s="117">
        <v>0.13</v>
      </c>
      <c r="BL5" s="116">
        <v>0.13</v>
      </c>
      <c r="BM5" s="116">
        <v>0.13</v>
      </c>
      <c r="BN5" s="146">
        <v>0.15</v>
      </c>
      <c r="BO5" s="146">
        <v>0.16</v>
      </c>
      <c r="BP5" s="176">
        <v>0.2</v>
      </c>
      <c r="BQ5" s="116">
        <v>0.25</v>
      </c>
      <c r="BR5" s="175">
        <v>0.3</v>
      </c>
      <c r="BS5" s="173">
        <v>0.33</v>
      </c>
      <c r="BU5" s="105" t="s">
        <v>991</v>
      </c>
      <c r="BV5" s="177">
        <v>150</v>
      </c>
    </row>
    <row r="6" spans="1:74" ht="13.35" customHeight="1">
      <c r="A6" s="260"/>
      <c r="B6" s="275"/>
      <c r="C6" s="274"/>
      <c r="D6" s="147"/>
      <c r="E6" s="147"/>
      <c r="F6" s="275"/>
      <c r="G6" s="178"/>
      <c r="H6" s="269"/>
      <c r="I6" s="178" t="str">
        <f>Kalk!B4</f>
        <v>F0201</v>
      </c>
      <c r="J6" s="6"/>
      <c r="K6" s="157"/>
      <c r="L6" s="162"/>
      <c r="M6" s="162"/>
      <c r="N6" s="272" t="s">
        <v>975</v>
      </c>
      <c r="O6" s="272"/>
      <c r="P6" s="272"/>
      <c r="Q6" s="273" t="s">
        <v>976</v>
      </c>
      <c r="R6" s="273"/>
      <c r="S6" s="273"/>
      <c r="T6" s="271" t="s">
        <v>992</v>
      </c>
      <c r="U6" s="271"/>
      <c r="V6" s="271"/>
      <c r="W6" s="271"/>
      <c r="X6" s="162"/>
      <c r="Y6" s="162"/>
      <c r="Z6" s="272" t="s">
        <v>975</v>
      </c>
      <c r="AA6" s="272"/>
      <c r="AB6" s="272"/>
      <c r="AC6" s="273" t="s">
        <v>976</v>
      </c>
      <c r="AD6" s="273"/>
      <c r="AE6" s="273"/>
      <c r="AF6" s="271" t="s">
        <v>992</v>
      </c>
      <c r="AG6" s="271"/>
      <c r="AH6" s="271"/>
      <c r="AI6" s="271"/>
      <c r="AJ6" s="162"/>
      <c r="AK6" s="162"/>
      <c r="AL6" s="272" t="s">
        <v>975</v>
      </c>
      <c r="AM6" s="272"/>
      <c r="AN6" s="272"/>
      <c r="AO6" s="273" t="s">
        <v>976</v>
      </c>
      <c r="AP6" s="273"/>
      <c r="AQ6" s="273"/>
      <c r="AR6" s="271" t="s">
        <v>992</v>
      </c>
      <c r="AS6" s="271"/>
      <c r="AT6" s="271"/>
      <c r="AU6" s="271"/>
      <c r="AV6" s="162"/>
      <c r="AW6" s="162"/>
      <c r="AX6" s="272" t="s">
        <v>975</v>
      </c>
      <c r="AY6" s="272"/>
      <c r="AZ6" s="272"/>
      <c r="BA6" s="273" t="s">
        <v>976</v>
      </c>
      <c r="BB6" s="273"/>
      <c r="BC6" s="273"/>
      <c r="BD6" s="271" t="s">
        <v>992</v>
      </c>
      <c r="BE6" s="271"/>
      <c r="BF6" s="271"/>
      <c r="BG6" s="271"/>
      <c r="BI6" t="s">
        <v>993</v>
      </c>
      <c r="BJ6" s="117"/>
      <c r="BK6" s="117"/>
      <c r="BL6" s="116"/>
      <c r="BM6" s="116"/>
      <c r="BN6" s="146"/>
      <c r="BO6" s="146"/>
      <c r="BP6" s="262" t="s">
        <v>992</v>
      </c>
      <c r="BQ6" s="262"/>
      <c r="BR6" s="262"/>
      <c r="BS6" s="262"/>
    </row>
    <row r="7" spans="1:74" ht="13.2">
      <c r="A7" s="260"/>
      <c r="B7" s="158">
        <f ca="1">IF(KLEJENIE!E7=1,Kalk!J3/2,Kalk!J3)</f>
        <v>1.3860000000000001E-3</v>
      </c>
      <c r="C7" s="153">
        <f ca="1">IF(SUM(D7:F7)=3,1,0)</f>
        <v>0</v>
      </c>
      <c r="D7" s="88">
        <f ca="1">IF((F3&gt;599)*AND(F3&lt;2851),1,0)</f>
        <v>0</v>
      </c>
      <c r="E7" s="88">
        <f ca="1">IF((G3&gt;399)*AND(G3&lt;1566),1,0)</f>
        <v>0</v>
      </c>
      <c r="F7" s="154">
        <f>IF(Kalk!B3="Die cut",1,0)</f>
        <v>0</v>
      </c>
      <c r="G7" s="154">
        <f>Kalk!J5*Kalk!J6</f>
        <v>1</v>
      </c>
      <c r="H7" s="154">
        <f>Kalk!W3</f>
        <v>0</v>
      </c>
      <c r="I7" s="154">
        <f>IF(OR(I6="F0200",I6="F0201",I6="F0202",I6="F0203",I6="F0201-F0203",I6="F0200-F0203",I6="F0501",I6="F0452"),1,0)</f>
        <v>1</v>
      </c>
      <c r="J7" s="160"/>
      <c r="K7" s="161"/>
      <c r="L7" s="88">
        <f t="shared" ref="L7:BG7" ca="1" si="0">SUM(L2:L6)</f>
        <v>0.13</v>
      </c>
      <c r="M7" s="88">
        <f t="shared" ca="1" si="0"/>
        <v>0</v>
      </c>
      <c r="N7" s="88">
        <f t="shared" ca="1" si="0"/>
        <v>0</v>
      </c>
      <c r="O7" s="88">
        <f t="shared" ca="1" si="0"/>
        <v>0</v>
      </c>
      <c r="P7" s="88">
        <f t="shared" ca="1" si="0"/>
        <v>0</v>
      </c>
      <c r="Q7" s="88">
        <f t="shared" ca="1" si="0"/>
        <v>0</v>
      </c>
      <c r="R7" s="88">
        <f t="shared" ca="1" si="0"/>
        <v>0</v>
      </c>
      <c r="S7" s="88">
        <f t="shared" ca="1" si="0"/>
        <v>0</v>
      </c>
      <c r="T7" s="88">
        <f t="shared" ca="1" si="0"/>
        <v>0</v>
      </c>
      <c r="U7" s="88">
        <f t="shared" ca="1" si="0"/>
        <v>0</v>
      </c>
      <c r="V7" s="88">
        <f t="shared" ca="1" si="0"/>
        <v>0</v>
      </c>
      <c r="W7" s="88">
        <f t="shared" ca="1" si="0"/>
        <v>0</v>
      </c>
      <c r="X7" s="88">
        <f t="shared" ca="1" si="0"/>
        <v>0</v>
      </c>
      <c r="Y7" s="88">
        <f t="shared" ca="1" si="0"/>
        <v>0</v>
      </c>
      <c r="Z7" s="88">
        <f t="shared" ca="1" si="0"/>
        <v>0</v>
      </c>
      <c r="AA7" s="88">
        <f t="shared" ca="1" si="0"/>
        <v>0</v>
      </c>
      <c r="AB7" s="88">
        <f t="shared" ca="1" si="0"/>
        <v>0</v>
      </c>
      <c r="AC7" s="88">
        <f t="shared" ca="1" si="0"/>
        <v>0</v>
      </c>
      <c r="AD7" s="88">
        <f t="shared" ca="1" si="0"/>
        <v>0</v>
      </c>
      <c r="AE7" s="88">
        <f t="shared" ca="1" si="0"/>
        <v>0</v>
      </c>
      <c r="AF7" s="88">
        <f t="shared" ca="1" si="0"/>
        <v>0</v>
      </c>
      <c r="AG7" s="88">
        <f t="shared" ca="1" si="0"/>
        <v>0</v>
      </c>
      <c r="AH7" s="88">
        <f t="shared" ca="1" si="0"/>
        <v>0</v>
      </c>
      <c r="AI7" s="88">
        <f t="shared" ca="1" si="0"/>
        <v>0</v>
      </c>
      <c r="AJ7" s="88">
        <f t="shared" ca="1" si="0"/>
        <v>0</v>
      </c>
      <c r="AK7" s="88">
        <f t="shared" ca="1" si="0"/>
        <v>0</v>
      </c>
      <c r="AL7" s="88">
        <f t="shared" ca="1" si="0"/>
        <v>0</v>
      </c>
      <c r="AM7" s="88">
        <f t="shared" ca="1" si="0"/>
        <v>0</v>
      </c>
      <c r="AN7" s="88">
        <f t="shared" ca="1" si="0"/>
        <v>0</v>
      </c>
      <c r="AO7" s="88">
        <f t="shared" ca="1" si="0"/>
        <v>0</v>
      </c>
      <c r="AP7" s="88">
        <f t="shared" ca="1" si="0"/>
        <v>0</v>
      </c>
      <c r="AQ7" s="88">
        <f t="shared" ca="1" si="0"/>
        <v>0</v>
      </c>
      <c r="AR7" s="88">
        <f t="shared" ca="1" si="0"/>
        <v>0</v>
      </c>
      <c r="AS7" s="88">
        <f t="shared" ca="1" si="0"/>
        <v>0</v>
      </c>
      <c r="AT7" s="88">
        <f t="shared" ca="1" si="0"/>
        <v>0</v>
      </c>
      <c r="AU7" s="88">
        <f t="shared" ca="1" si="0"/>
        <v>0</v>
      </c>
      <c r="AV7" s="88">
        <f t="shared" ca="1" si="0"/>
        <v>0</v>
      </c>
      <c r="AW7" s="88">
        <f t="shared" ca="1" si="0"/>
        <v>0</v>
      </c>
      <c r="AX7" s="88">
        <f t="shared" ca="1" si="0"/>
        <v>0</v>
      </c>
      <c r="AY7" s="88">
        <f t="shared" ca="1" si="0"/>
        <v>0</v>
      </c>
      <c r="AZ7" s="88">
        <f t="shared" ca="1" si="0"/>
        <v>0</v>
      </c>
      <c r="BA7" s="88">
        <f t="shared" ca="1" si="0"/>
        <v>0</v>
      </c>
      <c r="BB7" s="88">
        <f t="shared" ca="1" si="0"/>
        <v>0</v>
      </c>
      <c r="BC7" s="88">
        <f t="shared" ca="1" si="0"/>
        <v>0</v>
      </c>
      <c r="BD7" s="88">
        <f t="shared" ca="1" si="0"/>
        <v>0</v>
      </c>
      <c r="BE7" s="88">
        <f t="shared" ca="1" si="0"/>
        <v>0</v>
      </c>
      <c r="BF7" s="88">
        <f t="shared" ca="1" si="0"/>
        <v>0</v>
      </c>
      <c r="BG7" s="88">
        <f t="shared" ca="1" si="0"/>
        <v>0</v>
      </c>
      <c r="BI7" t="s">
        <v>994</v>
      </c>
      <c r="BR7" s="6"/>
    </row>
    <row r="8" spans="1:74" ht="13.2">
      <c r="A8" s="260"/>
      <c r="B8" s="123"/>
      <c r="C8" s="123"/>
      <c r="D8" s="123"/>
      <c r="E8" s="159"/>
      <c r="F8" s="6"/>
      <c r="G8" s="6"/>
      <c r="H8" s="6"/>
      <c r="I8" s="6"/>
      <c r="J8" s="166"/>
      <c r="BI8" t="s">
        <v>995</v>
      </c>
    </row>
    <row r="9" spans="1:74" ht="13.2">
      <c r="B9" s="167"/>
      <c r="C9" s="167"/>
      <c r="D9" s="167"/>
      <c r="E9" s="167"/>
      <c r="F9" s="167"/>
      <c r="G9" s="167"/>
      <c r="H9" s="166"/>
      <c r="I9" s="166"/>
      <c r="J9" s="88" t="s">
        <v>83</v>
      </c>
      <c r="K9" s="110" t="s">
        <v>956</v>
      </c>
      <c r="L9" s="110" t="s">
        <v>975</v>
      </c>
      <c r="M9" s="110" t="s">
        <v>976</v>
      </c>
      <c r="N9" s="116" t="s">
        <v>958</v>
      </c>
      <c r="O9" s="116" t="s">
        <v>959</v>
      </c>
      <c r="P9" s="116" t="s">
        <v>960</v>
      </c>
      <c r="Q9" s="146" t="s">
        <v>958</v>
      </c>
      <c r="R9" s="146" t="s">
        <v>959</v>
      </c>
      <c r="S9" s="146" t="s">
        <v>960</v>
      </c>
      <c r="T9" s="88" t="s">
        <v>977</v>
      </c>
      <c r="U9" s="108" t="s">
        <v>978</v>
      </c>
      <c r="V9" s="170" t="s">
        <v>979</v>
      </c>
      <c r="W9" s="171" t="s">
        <v>980</v>
      </c>
      <c r="X9" s="110" t="s">
        <v>975</v>
      </c>
      <c r="Y9" s="110" t="s">
        <v>976</v>
      </c>
      <c r="Z9" s="116" t="s">
        <v>958</v>
      </c>
      <c r="AA9" s="116" t="s">
        <v>959</v>
      </c>
      <c r="AB9" s="116" t="s">
        <v>960</v>
      </c>
      <c r="AC9" s="146" t="s">
        <v>958</v>
      </c>
      <c r="AD9" s="146" t="s">
        <v>959</v>
      </c>
      <c r="AE9" s="146" t="s">
        <v>960</v>
      </c>
      <c r="AF9" s="88" t="s">
        <v>977</v>
      </c>
      <c r="AG9" s="108" t="s">
        <v>978</v>
      </c>
      <c r="AH9" s="170" t="s">
        <v>979</v>
      </c>
      <c r="AI9" s="171" t="s">
        <v>980</v>
      </c>
      <c r="AJ9" s="110" t="s">
        <v>975</v>
      </c>
      <c r="AK9" s="110" t="s">
        <v>976</v>
      </c>
      <c r="AL9" s="116" t="s">
        <v>958</v>
      </c>
      <c r="AM9" s="116" t="s">
        <v>959</v>
      </c>
      <c r="AN9" s="116" t="s">
        <v>960</v>
      </c>
      <c r="AO9" s="146" t="s">
        <v>958</v>
      </c>
      <c r="AP9" s="146" t="s">
        <v>959</v>
      </c>
      <c r="AQ9" s="146" t="s">
        <v>960</v>
      </c>
      <c r="AR9" s="88" t="s">
        <v>977</v>
      </c>
      <c r="AS9" s="108" t="s">
        <v>978</v>
      </c>
      <c r="AT9" s="170" t="s">
        <v>979</v>
      </c>
      <c r="AU9" s="171" t="s">
        <v>980</v>
      </c>
      <c r="AV9" s="110" t="s">
        <v>975</v>
      </c>
      <c r="AW9" s="110" t="s">
        <v>976</v>
      </c>
      <c r="AX9" s="116" t="s">
        <v>958</v>
      </c>
      <c r="AY9" s="116" t="s">
        <v>959</v>
      </c>
      <c r="AZ9" s="116" t="s">
        <v>960</v>
      </c>
      <c r="BA9" s="146" t="s">
        <v>958</v>
      </c>
      <c r="BB9" s="146" t="s">
        <v>959</v>
      </c>
      <c r="BC9" s="146" t="s">
        <v>960</v>
      </c>
      <c r="BD9" s="88" t="s">
        <v>977</v>
      </c>
      <c r="BE9" s="108" t="s">
        <v>978</v>
      </c>
      <c r="BF9" s="170" t="s">
        <v>979</v>
      </c>
      <c r="BG9" s="171" t="s">
        <v>980</v>
      </c>
      <c r="BI9" t="s">
        <v>996</v>
      </c>
    </row>
    <row r="10" spans="1:74" ht="12.9" customHeight="1">
      <c r="A10" s="260">
        <v>2</v>
      </c>
      <c r="B10" s="274" t="s">
        <v>982</v>
      </c>
      <c r="C10" s="147" t="s">
        <v>56</v>
      </c>
      <c r="D10" s="147" t="s">
        <v>57</v>
      </c>
      <c r="E10" s="147" t="s">
        <v>66</v>
      </c>
      <c r="F10" s="268" t="s">
        <v>963</v>
      </c>
      <c r="G10" s="268"/>
      <c r="H10" s="269" t="s">
        <v>965</v>
      </c>
      <c r="I10" s="269" t="s">
        <v>970</v>
      </c>
      <c r="J10" s="88">
        <f ca="1">IF(KLEJENIE!E$15=1,Kalk!AH7*2,Kalk!AH7)</f>
        <v>0</v>
      </c>
      <c r="K10" s="150">
        <f ca="1">IF(AND($C15=1,$J10&gt;0),IF($H12=100, SUM(L15:W15)+($BT$2*$B15), SUM(L15:W15)),IF(AND($B12=1,$J10&gt;0),SUM(L15:W15)+IF(AND($H15&gt;1,$F15=0), $H15*0.05-0.05, 0),0))</f>
        <v>0</v>
      </c>
      <c r="L10" s="150">
        <f ca="1">IF(AND($H12=0,$H15=0,$J10&lt;500,$J10&gt;0,$B15&lt;2,$F15=0),BJ10/$J10,0)</f>
        <v>0</v>
      </c>
      <c r="M10" s="150">
        <f ca="1">IF(AND($H12=0,$H15=0,$J10&lt;500,$J10&gt;0,$B15&gt;1.999,$F15=0),BK10/$J10,0)</f>
        <v>0</v>
      </c>
      <c r="N10" s="151">
        <f ca="1">IF(AND($H15&gt;0,$H12=25,$B15&lt;2,$J10&lt;500,$F15=0),BV13/$J10,0)</f>
        <v>0</v>
      </c>
      <c r="O10" s="151">
        <f ca="1">IF(AND($H15&gt;0,$H12=50,$B15&lt;2,$J10&gt;0,$J10&lt;500,$F15=0),150/$J10,0)</f>
        <v>0</v>
      </c>
      <c r="P10" s="151">
        <f ca="1">IF(AND($H15&gt;0,$H12=100,$J10&gt;0,$J10&lt;500,$B15&lt;2,$F15=0),(BV13/$J10)+($BT$2*$B15),0)</f>
        <v>0</v>
      </c>
      <c r="Q10" s="152">
        <f ca="1">IF(AND($H15&gt;0,$H12=25,$J10&gt;0,$J10&lt;500,$B15&gt;1.999,$F15=0),BV13/$J10,0)</f>
        <v>0</v>
      </c>
      <c r="R10" s="152">
        <f ca="1">IF(AND($H15&gt;0,$H12=50,$J10&lt;500,$B15&gt;1.999,$F15=0),150/$J10,0)</f>
        <v>0</v>
      </c>
      <c r="S10" s="152">
        <f ca="1">IF(AND($H15&gt;0,$H12=100,$J10&lt;500,$B15&gt;1.999,$F15=0),(BV13/$J10)+($BT$2*$B15),0)</f>
        <v>0</v>
      </c>
      <c r="T10" s="165">
        <f ca="1">IF(AND($H12=0,$H15=0,$J10/$G15&lt;500,$J10/$G15&gt;0,$F15=1),BP10/$J10,0)</f>
        <v>0</v>
      </c>
      <c r="U10" s="151">
        <f ca="1">IFERROR(IF(AND($H12&gt;0,$H15=1,$J10/$G15&lt;500,$J10/$G15&gt;0,$F15=1),BQ10/$J10,0),0)</f>
        <v>0</v>
      </c>
      <c r="V10" s="152">
        <f ca="1">IFERROR(IF(AND($H12&gt;0,$H15=2,$J10/$G15&lt;500,$J10/$G15&gt;0,$F15=1),BR10/$J10,0),0)</f>
        <v>0</v>
      </c>
      <c r="W10" s="172">
        <f ca="1">IFERROR(IF(AND($H12&gt;0,$H15=3,$J10/$G15&lt;500,$J10/$G15&gt;0,$F15=1),BS10/$J10,0),0)</f>
        <v>0</v>
      </c>
      <c r="X10" s="150">
        <f ca="1">IF(AND($H12=0,$H15=0,$J11&lt;500,$J11&gt;0,$B15&lt;2,$F15=0),BJ10/$J11,0)</f>
        <v>0</v>
      </c>
      <c r="Y10" s="150">
        <f ca="1">IF(AND($H12=0,$H15=0,$J11&lt;500,$J11&gt;0,$B15&gt;1.999,$F15=0),BK10/$J11,0)</f>
        <v>0</v>
      </c>
      <c r="Z10" s="151">
        <f ca="1">IF(AND($H15&gt;0,$H12=25,$B15&lt;2,$J11&lt;500,$F15=0),BV13/$J11,0)</f>
        <v>0</v>
      </c>
      <c r="AA10" s="151">
        <f ca="1">IF(AND($H15&gt;0,$H12=50,$B15&lt;2,$J11&lt;500,$F15=0),150/$J11,0)</f>
        <v>0</v>
      </c>
      <c r="AB10" s="151">
        <f ca="1">IF(AND($H15&gt;0,$H12=100,$J11&lt;500,$B15&lt;2,$F15=0),(BV13/$J11)+($BT$2*$B15),0)</f>
        <v>0</v>
      </c>
      <c r="AC10" s="152">
        <f ca="1">IF(AND($H15&gt;0,$H12=25,$J11&lt;500,$B15&gt;1.999,$F15=0),BV13/$J11,0)</f>
        <v>0</v>
      </c>
      <c r="AD10" s="152">
        <f ca="1">IF(AND($H15&gt;0,$H12=50,$J11&lt;500,$B15&gt;1.999,$F15=0),150/$J11,0)</f>
        <v>0</v>
      </c>
      <c r="AE10" s="152">
        <f ca="1">IF(AND($H15&gt;0,$H12=50,$B15&lt;2,$J11&gt;0,$J11&lt;500,$F15=0),150/$J11,0)</f>
        <v>0</v>
      </c>
      <c r="AF10" s="165">
        <f ca="1">IF(AND($H15&gt;0,$H12=100,$J11&gt;0,$J11&lt;500,$B15&lt;2,$F15=0),(BV13/$J11)+($BT$2*$B15),0)</f>
        <v>0</v>
      </c>
      <c r="AG10" s="151">
        <f ca="1">IF(AND($H15&gt;0,$H12=25,$J11&gt;0,$J11&lt;500,$B15&gt;1.999,$F15=0),BV13/$J11,0)</f>
        <v>0</v>
      </c>
      <c r="AH10" s="152">
        <f ca="1">IF(AND($H15&gt;0,$H12=50,$J11&gt;0,$J11&lt;500,$B15&gt;1.999,$F15=0),150/$J11,0)</f>
        <v>0</v>
      </c>
      <c r="AI10" s="172">
        <f ca="1">IF(AND($H12&gt;0,$H15=3,$G15&lt;&gt;0,$J11&gt;0,$J11/$G15&gt;0,$J11/$G15&lt;500,$F15=1),BS10/$J11,0)</f>
        <v>0</v>
      </c>
      <c r="AJ10" s="150">
        <f ca="1">IF(AND($H12=0,$H15=0,$J12&gt;0,$J12&lt;500,$B15&lt;2,$F15=0),BJ10/$J12,0)</f>
        <v>0</v>
      </c>
      <c r="AK10" s="150">
        <f ca="1">IF(AND($H12=0,$H15=0,$J12&gt;0,$J12&lt;500,$B15&gt;1.999,$F15=0),BK10/$J12,0)</f>
        <v>0</v>
      </c>
      <c r="AL10" s="151">
        <f ca="1">IF(AND($H15&gt;0,$H12=25,$B15&lt;2,$J12&gt;0,$J12&lt;500,$F15=0),BV13/$J12,0)</f>
        <v>0</v>
      </c>
      <c r="AM10" s="151">
        <f ca="1">IF(AND($H15&gt;0,$H12=50,$B15&lt;2,$J12&gt;0,$J12&lt;500,$F15=0),BV13/$J12,0)</f>
        <v>0</v>
      </c>
      <c r="AN10" s="151">
        <f ca="1">IF(AND($H15&gt;0,$H12=100,$J12&gt;0,$J12&lt;500,$B15&lt;2,$F15=0),(BV13/$J12)+($BT$2*$B15),0)</f>
        <v>0</v>
      </c>
      <c r="AO10" s="152">
        <f ca="1">IF(AND($H15&gt;0,$H12=25,$J12&gt;0,$J12&lt;500,$B15&gt;1.999,$F15=0),BV13/$J12,0)</f>
        <v>0</v>
      </c>
      <c r="AP10" s="152">
        <f ca="1">IF(AND($H15&gt;0,$H12=50,$J12&gt;0,$J12&lt;500,$B15&gt;1.999,$F15=0),150/$J12,0)</f>
        <v>0</v>
      </c>
      <c r="AQ10" s="152">
        <f ca="1">IF(AND($H15&gt;0,$H12=100,$J12&gt;0,$J12&lt;500,$B15&gt;1.999,$F15=0),(BV13/$J12)+($BT$2*$B15),0)</f>
        <v>0</v>
      </c>
      <c r="AR10" s="165">
        <f ca="1">IF(AND($H12=0,$H15=0,$G15&lt;&gt;0,$J12&gt;0,$J12/$G15&lt;500,$J12/$G15&gt;0,$F15=1),BP10/$J12,0)</f>
        <v>0</v>
      </c>
      <c r="AS10" s="151">
        <f ca="1">IF(AND($H12&gt;0,$H15=1,$G15&lt;&gt;0,$J12&gt;0,$J12/$G15&lt;500,$J12/$G15&gt;0,$F15=1),BQ10/$J12,0)</f>
        <v>0</v>
      </c>
      <c r="AT10" s="152">
        <f ca="1">IF(AND($H12&gt;0,$H15=2,$G15&lt;&gt;0,$J12&gt;0,$J12/$G15&lt;500,$J12/$G15&gt;0,$F15=1),BR10/$J12,0)</f>
        <v>0</v>
      </c>
      <c r="AU10" s="172">
        <f ca="1">IF(AND($H12&gt;0,$H15=3,$G15&lt;&gt;0,$J12&gt;0,$J12/$G15&lt;500,$J12/$G15&gt;0,$F15=1),BS10/$J12,0)</f>
        <v>0</v>
      </c>
      <c r="AV10" s="150">
        <f ca="1">IF(AND($H12=0,$H15=0,$J13&gt;0,$J13&lt;500,$B15&lt;2,$F15=0),BJ10/$J13,0)</f>
        <v>0</v>
      </c>
      <c r="AW10" s="150">
        <f ca="1">IF(AND($H12=0,$H15=0,$J13&gt;0,$J13&lt;500,$B15&gt;1.999,$F15=0),BK10/$J13,0)</f>
        <v>0</v>
      </c>
      <c r="AX10" s="151">
        <f ca="1">IF(AND($H15&gt;0,$H12=25,$B15&lt;2,$J13&gt;0,$J13&lt;500,$F15=0),BV13/$J13,0)</f>
        <v>0</v>
      </c>
      <c r="AY10" s="151">
        <f ca="1">IF(AND($H15&gt;0,$H12=50,$B15&lt;2,$J13&gt;0,$J13&lt;500,$F15=0),150/$J13,0)</f>
        <v>0</v>
      </c>
      <c r="AZ10" s="151">
        <f ca="1">IF(AND($H15&gt;0,$H12=100,$B15&lt;2,$J13&gt;0,$J13&lt;500,$F15=0),(BV13/$J13)+($BT$2*$B15),0)</f>
        <v>0</v>
      </c>
      <c r="BA10" s="152">
        <f ca="1">IF(AND($H15&gt;0,$H12=25,$J13&gt;0,$J13&lt;500,$B15&gt;1.999,$F15=0),BV13/$J13,0)</f>
        <v>0</v>
      </c>
      <c r="BB10" s="152">
        <f ca="1">IF(AND($H15&gt;0,$H12=50,$J13&gt;0,$J13&lt;500,$B15&gt;1.999,$F15=0),150/$J13,0)</f>
        <v>0</v>
      </c>
      <c r="BC10" s="152">
        <f ca="1">IF(AND($H15&gt;0,$H12=100,$J13&gt;0,$J13&lt;500,$B15&gt;1.999,$F15=0),(BV13/$J13)+($BT$2*$B15),0)</f>
        <v>0</v>
      </c>
      <c r="BD10" s="165">
        <f ca="1">IFERROR(IF(AND($H12=0,$H15=0,$G15&lt;&gt;0,$J13&gt;0,$J13/$G15&lt;500,$J13/$G15&gt;0,$F15=1),BP10/$J13,0),0)</f>
        <v>0</v>
      </c>
      <c r="BE10" s="151">
        <f ca="1">IFERROR(IF(AND($H12&gt;0,$H15=1,$G15&lt;&gt;0,$J13&gt;0,$J13/$G15&lt;500,$J13/$G15&gt;0,$F15=1),BQ10/$J13,0),0)</f>
        <v>0</v>
      </c>
      <c r="BF10" s="152">
        <f ca="1">IFERROR(IF(AND($H12&gt;0,$H15=2,$G15&lt;&gt;0,$J13&gt;0,$J13/$G15&lt;500,$J13/$G15&gt;0,$F15=1),BR10/$J13,0),0)</f>
        <v>0</v>
      </c>
      <c r="BG10" s="172">
        <f ca="1">IFERROR(IF(AND($H12&gt;0,$H15=3,$G15&lt;&gt;0,$J13&gt;0,$J13/$G15&lt;500,$J13/$G15&gt;0,$F15=1),BS10/$J13,0),0)</f>
        <v>0</v>
      </c>
      <c r="BI10" t="s">
        <v>997</v>
      </c>
    </row>
    <row r="11" spans="1:74" ht="13.2">
      <c r="A11" s="260"/>
      <c r="B11" s="274"/>
      <c r="C11" s="174">
        <f>Kalk!C8</f>
        <v>0</v>
      </c>
      <c r="D11" s="174">
        <f>Kalk!E8</f>
        <v>0</v>
      </c>
      <c r="E11" s="147">
        <f>Kalk!G8</f>
        <v>0</v>
      </c>
      <c r="F11" s="147">
        <f ca="1">IF(KLEJENIE!E15=1,Kalk!H8,Kalk!I8)</f>
        <v>63</v>
      </c>
      <c r="G11" s="147">
        <f ca="1">Kalk!I10</f>
        <v>22</v>
      </c>
      <c r="H11" s="269"/>
      <c r="I11" s="269"/>
      <c r="J11" s="88">
        <f ca="1">IF(KLEJENIE!E$15=1,Kalk!AH8*2,Kalk!AH8)</f>
        <v>0</v>
      </c>
      <c r="K11" s="150">
        <f ca="1">IF(AND($C15=1,$J11&gt;0),IF($H12=100, SUM(X15:AI15)+($BT$2*$B15), SUM(X15:AI15)),IF(AND($B12=1,$J11&gt;0),SUM(X15:AI15) + IF(AND($H15&gt;1,$F15=0), $H15*0.05-0.05, 0),0))</f>
        <v>0</v>
      </c>
      <c r="L11" s="150">
        <f ca="1">IF(AND($H12=0,$H15=0,$B15&lt;2,$J10&gt;499,$J10&lt;1000,$F15=0),$BJ$3,0)</f>
        <v>0</v>
      </c>
      <c r="M11" s="150">
        <f ca="1">IF(AND($H12=0,$H15=0,$B15&gt;1.999,$J10&gt;499,$J10&lt;1000,$F15=0),$BK$3,0)</f>
        <v>0</v>
      </c>
      <c r="N11" s="151">
        <f ca="1">IF(AND($H12=25,$H15&gt;0,$B15&lt;2,$J10&gt;499,$J10&lt;1000,$F15=0),$BL$3,0)</f>
        <v>0</v>
      </c>
      <c r="O11" s="151">
        <f ca="1">IF(AND($H12=50,$H15&gt;0,$B15&lt;2,$J10&gt;499,$J10&lt;1000,$F15=0),$BM$3,0)</f>
        <v>0</v>
      </c>
      <c r="P11" s="151">
        <f ca="1">IF(AND($H12=100,$H15&gt;0,$J10&gt;499,$J10&lt;1000,$B15&lt;2,$F15=0),$BM$3+($BT$2*$B15),0)</f>
        <v>0</v>
      </c>
      <c r="Q11" s="152">
        <f ca="1">IF(AND($H12=25,$H15&gt;0,$B15&gt;1.999,$J10&gt;499,$J10&lt;1000,$F15=0),$BN$3,0)</f>
        <v>0</v>
      </c>
      <c r="R11" s="152">
        <f ca="1">IF(AND($H12=50,$H15&gt;0,$J10&gt;499,$J10&lt;1000,$B15&gt;1.999,$F15=0),$BO$3,0)</f>
        <v>0</v>
      </c>
      <c r="S11" s="152">
        <f ca="1">IF(AND($H12=100,$H15&gt;0,$J10&gt;499,$J10&lt;1000,$B15&gt;1.999,$F15=0),$BO$3+($BT$2*$B15),0)</f>
        <v>0</v>
      </c>
      <c r="T11" s="165">
        <f ca="1">IF(AND($H12=0,$H15=0,$J10/$G15&lt;1000,$J10/$G15&gt;499,$F15=1),$BP$3/$G15,0)</f>
        <v>0</v>
      </c>
      <c r="U11" s="151">
        <f ca="1">IFERROR(IF(AND($H12&gt;0,$H15=1,$J10/$G15&lt;1000,$J10/$G15&gt;499,$F15=1),$BQ$3/$G15,0),0)</f>
        <v>0</v>
      </c>
      <c r="V11" s="152">
        <f ca="1">IFERROR(IF(AND($H12&gt;0,$H15=2,$J10/$G15&lt;1000,$J10/$G15&gt;499,$F15=1),$BR$3/$G15,0),0)</f>
        <v>0</v>
      </c>
      <c r="W11" s="172">
        <f ca="1">IFERROR(IF(AND($H12&gt;0,$H15=3,$J10/$G15&lt;1000,$J10/$G15&gt;499,$F15=1),$BS$3/$G15,0),0)</f>
        <v>0</v>
      </c>
      <c r="X11" s="150">
        <f ca="1">IF(AND($H12=0,$H15=0,$B15&lt;2,$J11&gt;499,$J11&lt;1000,$F15=0),$BJ$3,0)</f>
        <v>0</v>
      </c>
      <c r="Y11" s="150">
        <f ca="1">IF(AND($H12=0,$H15=0,$B15&gt;1.999,$J11&gt;499,$J11&lt;1000,$F15=0),$BK$3,0)</f>
        <v>0</v>
      </c>
      <c r="Z11" s="151">
        <f ca="1">IF(AND($H12=25,$H15&gt;0,$B15&lt;2,$J11&gt;499,$J11&lt;1000,$F15=0),$BL$3,0)</f>
        <v>0</v>
      </c>
      <c r="AA11" s="151">
        <f ca="1">IF(AND($H12=50,$H15&gt;0,$B15&lt;2,$J11&gt;499,$J11&lt;1000,$F15=0),$BM$3,0)</f>
        <v>0</v>
      </c>
      <c r="AB11" s="151">
        <f ca="1">IF(AND($H12=100,$H15&gt;0,$J11&gt;499,$J11&lt;1000,$B15&lt;2,$F15=0),$BM$3+($BT$2*$B15),0)</f>
        <v>0</v>
      </c>
      <c r="AC11" s="152">
        <f ca="1">IF(AND($H12=25,$H15&gt;0,$B15&gt;1.999,$J11&gt;499,$J11&lt;1000,$F15=0),$BN$3,0)</f>
        <v>0</v>
      </c>
      <c r="AD11" s="152">
        <f ca="1">IF(AND($H12=50,$H15&gt;0,$J11&gt;499,$J11&lt;1000,$B15&gt;1.999,$F15=0),$BO$3,0)</f>
        <v>0</v>
      </c>
      <c r="AE11" s="152">
        <f ca="1">IF(AND($H12=50,$H15&gt;0,$B15&lt;2,$J11&gt;499,$J11&lt;1000,$F15=0),$BM$3,0)</f>
        <v>0</v>
      </c>
      <c r="AF11" s="165">
        <f ca="1">IF(AND($H12=100,$H15&gt;0,$J11&gt;499,$J11&lt;1000,$B15&lt;2,$F15=0),$BM$3+($BT$2*$B15),0)</f>
        <v>0</v>
      </c>
      <c r="AG11" s="151">
        <f ca="1">IF(AND($H12=25,$H15&gt;0,$B15&gt;1.999,$J11&gt;499,$J11&lt;1000,$F15=0),$BN$3,0)</f>
        <v>0</v>
      </c>
      <c r="AH11" s="152">
        <f ca="1">IF(AND($H12=50,$H15&gt;0,$J11&gt;499,$J11&lt;1000,$B15&gt;1.999,$F15=0),$BO$3,0)</f>
        <v>0</v>
      </c>
      <c r="AI11" s="172">
        <f ca="1">IF(AND($H12&gt;0,$H15=3,$G15&lt;&gt;0,$J11/$G15&gt;499,$J11/$G15&lt;1000,$F15=1),$BS$3/$G15,0)</f>
        <v>0</v>
      </c>
      <c r="AJ11" s="150">
        <f ca="1">IF(AND($H12=0,$H15=0,$B15&lt;2,$J12&gt;499,$J12&lt;1000,$F15=0),$BJ$3,0)</f>
        <v>0</v>
      </c>
      <c r="AK11" s="150">
        <f ca="1">IF(AND($H12=0,$H15=0,$B15&gt;1.999,$J12&gt;499,$J12&lt;1000,$F15=0),$BK$3,0)</f>
        <v>0</v>
      </c>
      <c r="AL11" s="151">
        <f ca="1">IF(AND($H12=25,$H15&gt;0,$B15&lt;2,$J12&gt;499,$J12&lt;1000,$F15=0),$BL$3,0)</f>
        <v>0</v>
      </c>
      <c r="AM11" s="151">
        <f ca="1">IF(AND($H12=50,$H15&gt;0,$B15&lt;2,$J12&gt;499,$J12&lt;1000,$F15=0),$BM$3,0)</f>
        <v>0</v>
      </c>
      <c r="AN11" s="151">
        <f ca="1">IF(AND($H12=100,$H15&gt;0,$J12&gt;499,$J12&lt;1000,$B15&lt;2,$F15=0),$BM$3+($BT$2*$B15),0)</f>
        <v>0</v>
      </c>
      <c r="AO11" s="152">
        <f ca="1">IF(AND($H12=25,$H15&gt;0,$B15&gt;1.999,$J12&gt;499,$J12&lt;1000,$F15=0),$BN$3,0)</f>
        <v>0</v>
      </c>
      <c r="AP11" s="152">
        <f ca="1">IF(AND($H12=50,$H15&gt;0,$J12&gt;499,$J12&lt;1000,$B15&gt;1.999,$F15=0),$BO$3,0)</f>
        <v>0</v>
      </c>
      <c r="AQ11" s="152">
        <f ca="1">IF(AND($H12=100,$H15&gt;0,$J12&gt;499,$J12&lt;1000,$B15&gt;1.999,$F15=0),$BO$3+($BT$2*$B15),0)</f>
        <v>0</v>
      </c>
      <c r="AR11" s="165">
        <f ca="1">IF(AND($H12=0,$H15=0,$G15&lt;&gt;0,$J12/$G15&lt;1000,$J12/$G15&gt;499,$F15=1),$BP$3/$G15,0)</f>
        <v>0</v>
      </c>
      <c r="AS11" s="151">
        <f ca="1">IF(AND($H12&gt;0,$H15=1,$G15&lt;&gt;0,$J12/$G15&lt;1000,$J12/$G15&gt;499,$F15=1),$BQ$3/$G15,0)</f>
        <v>0</v>
      </c>
      <c r="AT11" s="152">
        <f ca="1">IF(AND($H12&gt;0,$H15=2,$G15&lt;&gt;0,$J12/$G15&lt;1000,$J12/$G15&gt;499,$F15=1),$BR$3/$G15,0)</f>
        <v>0</v>
      </c>
      <c r="AU11" s="172">
        <f ca="1">IF(AND($H12&gt;0,$H15=3,$G15&lt;&gt;0,$J12/$G15&lt;1000,$J12/$G15&gt;499,$F15=1),$BS$3/$G15,0)</f>
        <v>0</v>
      </c>
      <c r="AV11" s="150">
        <f ca="1">IF(AND($H12=0,$H15=0,$B15&lt;2,$J13&gt;499,$J13&lt;1000,$F15=0),$BJ$3,0)</f>
        <v>0</v>
      </c>
      <c r="AW11" s="150">
        <f ca="1">IF(AND($H12=0,$H15=0,$B15&gt;1.999,$J13&gt;499,$J13&lt;1000,$F15=0),$BK$3,0)</f>
        <v>0</v>
      </c>
      <c r="AX11" s="151">
        <f ca="1">IF(AND($H12=25,$H15&gt;0,$B15&lt;2,$J13&gt;499,$J13&lt;1000,$F15=0),$BL$3,0)</f>
        <v>0</v>
      </c>
      <c r="AY11" s="151">
        <f ca="1">IF(AND($H12=50,$H15&gt;0,$B15&lt;2,$J13&gt;499,$J13&lt;1000,$F15=0),$BM$3,0)</f>
        <v>0</v>
      </c>
      <c r="AZ11" s="151">
        <f ca="1">IF(AND($H12=100,$H15&gt;0,$B15&lt;2,$J13&gt;499,$J13&lt;1000,$F15=0),$BM$3+($BT$2*$B15),0)</f>
        <v>0</v>
      </c>
      <c r="BA11" s="152">
        <f ca="1">IF(AND($H12=25,$H15&gt;0,$B15&gt;1.999,$J13&gt;499,$J13&lt;1000,$F15=0),$BN$3,0)</f>
        <v>0</v>
      </c>
      <c r="BB11" s="152">
        <f ca="1">IF(AND($H12=50,$H15&gt;0,$J13&gt;499,$J13&lt;1000,$B15&gt;1.999,$F15=0),$BO$3,0)</f>
        <v>0</v>
      </c>
      <c r="BC11" s="152">
        <f ca="1">IF(AND($H12=100,$H15&gt;0,$J13&gt;499,$J13&lt;1000,$B15&gt;1.999,$F15=0),$BO$3+($BT$2*$B15),0)</f>
        <v>0</v>
      </c>
      <c r="BD11" s="165">
        <f ca="1">IFERROR(IF(AND($H12=0,$H15=0,$G15&lt;&gt;0,$J13/$G15&lt;1000,$J13/$G15&gt;499,$F15=1),$BP$3/$G15,0),0)</f>
        <v>0</v>
      </c>
      <c r="BE11" s="151">
        <f ca="1">IFERROR(IF(AND($H12&gt;0,$H15=1,$G15&lt;&gt;0,$J13/$G15&lt;1000,$J13/$G15&gt;499,$F15=1),$BQ$3/$G15,0),0)</f>
        <v>0</v>
      </c>
      <c r="BF11" s="152">
        <f ca="1">IFERROR(IF(AND($H12&gt;0,$H15=2,$G15&lt;&gt;0,$J13/$G15&lt;1000,$J13/$G15&gt;499,$F15=1),$BR$3/$G15,0),0)</f>
        <v>0</v>
      </c>
      <c r="BG11" s="172">
        <f ca="1">IFERROR(IF(AND($H12&gt;0,$H15=3,$G15&lt;&gt;0,$J13/$G15&lt;1000,$J13/$G15&gt;499,$F15=1),$BS$3/$G15,0),0)</f>
        <v>0</v>
      </c>
      <c r="BI11" t="s">
        <v>998</v>
      </c>
    </row>
    <row r="12" spans="1:74" ht="13.2">
      <c r="A12" s="260"/>
      <c r="B12" s="153">
        <f ca="1">IF(SUM(C12:G12)+I12=6,1,0)</f>
        <v>0</v>
      </c>
      <c r="C12" s="88">
        <f ca="1">IF(KLEJENIE!E15=1,1,IF(AND(C11&gt;267,C11&lt;2251),1,0))</f>
        <v>0</v>
      </c>
      <c r="D12" s="88">
        <f>IF((D11&gt;=50)*AND(D11&lt;1001),1,0)</f>
        <v>0</v>
      </c>
      <c r="E12" s="88">
        <f>IF((E11&gt;49)*AND(E11&lt;1401),1,0)</f>
        <v>0</v>
      </c>
      <c r="F12" s="88">
        <f ca="1">IF((F11&gt;599)*AND(F11&lt;2856),1,0)</f>
        <v>0</v>
      </c>
      <c r="G12" s="88" cm="1">
        <f t="array" aca="1" ref="G12" ca="1">IF(AND(G11&gt;399, IF(C15=1, G11&lt;1581, INDIRECT("'"&amp;Kalk!B8&amp;"'!L3")=1)),1,0)</f>
        <v>0</v>
      </c>
      <c r="H12" s="154">
        <f>Kalk!M11</f>
        <v>0</v>
      </c>
      <c r="I12" s="154">
        <f ca="1">IF(E11+((G11-E11)/2)&lt;1590,1,0)</f>
        <v>1</v>
      </c>
      <c r="J12" s="88">
        <f ca="1">IF(KLEJENIE!E$15=1,Kalk!AH9*2,Kalk!AH9)</f>
        <v>0</v>
      </c>
      <c r="K12" s="150">
        <f ca="1">IF(AND($C15=1,$J12&gt;0),IF($H12=100, SUM(AJ15:AU15)+($BT$2*$B15), SUM(AJ15:AU15)),IF(AND($B12=1,$J12&gt;0),SUM(AJ15:AU15) + IF(AND($H15&gt;1,$F15=0), $H15*0.05-0.05, 0),0))</f>
        <v>0</v>
      </c>
      <c r="L12" s="150">
        <f ca="1">IF(AND($H12=0,$H15=0,$B15&lt;2,$J10&gt;999,$J10&lt;3000,$F15=0),$BJ$4,0)</f>
        <v>0</v>
      </c>
      <c r="M12" s="150">
        <f ca="1">IF(AND($H12=0,$H15=0,$B15&gt;1.999,$J10&gt;999,$J10&lt;3000,$F15=0),$BK$4,0)</f>
        <v>0</v>
      </c>
      <c r="N12" s="151">
        <f ca="1">IF(AND($H12=25,$H15&gt;0,$B15&lt;2,$J10&gt;999,$J10&lt;3000,$F15=0),$BL$4,0)</f>
        <v>0</v>
      </c>
      <c r="O12" s="151">
        <f ca="1">IF(AND($H12=50,$H15&gt;0,$B15&lt;2,$J10&gt;999,$J10&lt;3000,$F15=0),$BM$4,0)</f>
        <v>0</v>
      </c>
      <c r="P12" s="151">
        <f ca="1">IF(AND($H12=100,$H15&gt;0,$B15&lt;2,$J10&gt;999,$J10&lt;3000,$F15=0),$BM$4+($BT$2*$B15),0)</f>
        <v>0</v>
      </c>
      <c r="Q12" s="152">
        <f ca="1">IF(AND($H12=25,$H15&gt;0,$B15&gt;1.999,$J10&gt;999,$J10&lt;3000,$F15=0),$BN$4,0)</f>
        <v>0</v>
      </c>
      <c r="R12" s="152">
        <f ca="1">IF(AND($H12=50,$H15&gt;0,$B15&gt;1.999,$J10&gt;999,$J10&lt;3000,$F15=0),$BO$4,0)</f>
        <v>0</v>
      </c>
      <c r="S12" s="152">
        <f ca="1">IF(AND($H12=100,$H15&gt;0,$J10&gt;999,$J10&lt;3000,$B15&gt;1.999,$F15=0),$BO$4+($BT$2*$B15),0)</f>
        <v>0</v>
      </c>
      <c r="T12" s="165">
        <f ca="1">IF(AND($H12=0,$H15=0,$J10/$G15&lt;3000,$J10/$G15&gt;999,$F15=1),$BP$4/$G15,0)</f>
        <v>0</v>
      </c>
      <c r="U12" s="151">
        <f ca="1">IFERROR(IF(AND($H12&gt;0,$H15=1,$J10/$G15&lt;3000,$J10/$G15&gt;999,$F15=1),$BQ$4/$G15,0),0)</f>
        <v>0</v>
      </c>
      <c r="V12" s="152">
        <f ca="1">IFERROR(IF(AND($H12&gt;0,$H15=2,$J10/$G15&lt;3000,$J10/$G15&gt;999,$F15=1),$BR$4/$G15,0),0)</f>
        <v>0</v>
      </c>
      <c r="W12" s="172">
        <f ca="1">IFERROR(IF(AND($H12&gt;0,$H15=3,$J10/$G15&lt;3000,$J10/$G15&gt;999,$F15=1),$BS$4/$G15,0),0)</f>
        <v>0</v>
      </c>
      <c r="X12" s="150">
        <f ca="1">IF(AND($H12=0,$H15=0,$B15&lt;2,$J11&gt;999,$J11&lt;3000,$F15=0),$BJ$4,0)</f>
        <v>0</v>
      </c>
      <c r="Y12" s="150">
        <f ca="1">IF(AND($H12=0,$H15=0,$B15&gt;1.999,$J11&gt;999,$J11&lt;3000,$F15=0),$BK$4,0)</f>
        <v>0</v>
      </c>
      <c r="Z12" s="151">
        <f ca="1">IF(AND($H12=25,$H15&gt;0,$B15&lt;2,$J11&gt;999,$J11&lt;3000,$F15=0),$BL$4,0)</f>
        <v>0</v>
      </c>
      <c r="AA12" s="151">
        <f ca="1">IF(AND($H12=50,$H15&gt;0,$B15&lt;2,$J11&gt;999,$J11&lt;3000,$F15=0),$BM$4,0)</f>
        <v>0</v>
      </c>
      <c r="AB12" s="151">
        <f ca="1">IF(AND($H12=100,$H15&gt;0,$B15&lt;2,$J11&gt;999,$J11&lt;3000,$F15=0),$BM$4+($BT$2*$B15),0)</f>
        <v>0</v>
      </c>
      <c r="AC12" s="152">
        <f ca="1">IF(AND($H12=25,$H15&gt;0,$B15&gt;1.999,$J11&gt;999,$J11&lt;3000,$F15=0),$BN$4,0)</f>
        <v>0</v>
      </c>
      <c r="AD12" s="152">
        <f ca="1">IF(AND($H12=50,$H15&gt;0,$B15&gt;1.999,$J11&gt;999,$J11&lt;3000,$F15=0),$BO$4,0)</f>
        <v>0</v>
      </c>
      <c r="AE12" s="152">
        <f ca="1">IF(AND($H12=50,$H15&gt;0,$B15&lt;2,$J11&gt;999,$J11&lt;3000,$F15=0),$BM$4,0)</f>
        <v>0</v>
      </c>
      <c r="AF12" s="165">
        <f ca="1">IF(AND($H12=100,$H15&gt;0,$B15&lt;2,$J11&gt;999,$J11&lt;3000,$F15=0),$BM$4+($BT$2*$B15),0)</f>
        <v>0</v>
      </c>
      <c r="AG12" s="151">
        <f ca="1">IF(AND($H12=25,$H15&gt;0,$B15&gt;1.999,$J11&gt;999,$J11&lt;3000,$F15=0),$BN$4,0)</f>
        <v>0</v>
      </c>
      <c r="AH12" s="152">
        <f ca="1">IF(AND($H12=50,$H15&gt;0,$B15&gt;1.999,$J11&gt;999,$J11&lt;3000,$F15=0),$BO$4,0)</f>
        <v>0</v>
      </c>
      <c r="AI12" s="172">
        <f ca="1">IF(AND($H12&gt;0,$H15=3,$G15&lt;&gt;0,$J11/$G15&gt;999,$J11/$G15&lt;3000,$F15=1),$BS$4/$G15,0)</f>
        <v>0</v>
      </c>
      <c r="AJ12" s="150">
        <f ca="1">IF(AND($H12=0,$H15=0,$B15&lt;2,$J12&gt;999,$J12&lt;3000,$F15=0),$BJ$4,0)</f>
        <v>0</v>
      </c>
      <c r="AK12" s="150">
        <f ca="1">IF(AND($H12=0,$H15=0,$B15&gt;1.999,$J12&gt;999,$J12&lt;3000,$F15=0),$BK$4,0)</f>
        <v>0</v>
      </c>
      <c r="AL12" s="151">
        <f ca="1">IF(AND($H12=25,$H15&gt;0,$B15&lt;2,$J12&gt;999,$J12&lt;3000,$F15=0),$BL$4,0)</f>
        <v>0</v>
      </c>
      <c r="AM12" s="151">
        <f ca="1">IF(AND($H12=50,$H15&gt;0,$B15&lt;2,$J12&gt;999,$J12&lt;3000,$F15=0),$BM$4,0)</f>
        <v>0</v>
      </c>
      <c r="AN12" s="151">
        <f ca="1">IF(AND($H12=100,$H15&gt;0,$B15&lt;2,$J12&gt;999,$J12&lt;3000,$F15=0),$BM$4+($BT$2*$B15),0)</f>
        <v>0</v>
      </c>
      <c r="AO12" s="152">
        <f ca="1">IF(AND($H12=25,$H15&gt;0,$B15&gt;1.999,$J12&gt;999,$J12&lt;3000,$F15=0),$BN$4,0)</f>
        <v>0</v>
      </c>
      <c r="AP12" s="152">
        <f ca="1">IF(AND($H12=50,$H15&gt;0,$B15&gt;1.999,$J12&gt;999,$J12&lt;3000,$F15=0),$BO$4,0)</f>
        <v>0</v>
      </c>
      <c r="AQ12" s="152">
        <f ca="1">IF(AND($H12=100,$H15&gt;0,$J12&gt;999,$J12&lt;3000,$B15&gt;1.999,$F15=0),$BO$4+($BT$2*$B15),0)</f>
        <v>0</v>
      </c>
      <c r="AR12" s="165">
        <f ca="1">IF(AND($H12=0,$H15=0,$G15&lt;&gt;0,$J12/$G15&lt;3000,$J12/$G15&gt;999,$F15=1),$BP$4/$G15,0)</f>
        <v>0</v>
      </c>
      <c r="AS12" s="151">
        <f ca="1">IF(AND($H12&gt;0,$H15=1,$G15&lt;&gt;0,$J12/$G15&lt;3000,$J12/$G15&gt;999,$F15=1),$BQ$4/$G15,0)</f>
        <v>0</v>
      </c>
      <c r="AT12" s="152">
        <f ca="1">IF(AND($H12&gt;0,$H15=2,$G15&lt;&gt;0,$J12/$G15&lt;3000,$J12/$G15&gt;999,$F15=1),$BR$4/$G15,0)</f>
        <v>0</v>
      </c>
      <c r="AU12" s="172">
        <f ca="1">IF(AND($H12&gt;0,$H15=3,$G15&lt;&gt;0,$J12/$G15&lt;3000,$J12/$G15&gt;999,$F15=1),$BS$4/$G15,0)</f>
        <v>0</v>
      </c>
      <c r="AV12" s="150">
        <f ca="1">IF(AND($H12=0,$H15=0,$B15&lt;2,$J13&gt;999,$J13&lt;3000,$F15=0),$BJ$4,0)</f>
        <v>0</v>
      </c>
      <c r="AW12" s="150">
        <f ca="1">IF(AND($H12=0,$H15=0,$B15&gt;1.999,$J13&gt;999,$J13&lt;3000,$F15=0),$BK$4,0)</f>
        <v>0</v>
      </c>
      <c r="AX12" s="151">
        <f ca="1">IF(AND($H12=25,$H15&gt;0,$B15&lt;2,$J13&gt;999,$J13&lt;3000,$F15=0),$BL$4,0)</f>
        <v>0</v>
      </c>
      <c r="AY12" s="151">
        <f ca="1">IF(AND($H12=50,$H15&gt;0,$B15&lt;2,$J13&gt;999,$J13&lt;3000,$F15=0),$BM$4,0)</f>
        <v>0</v>
      </c>
      <c r="AZ12" s="151">
        <f ca="1">IF(AND($H12=100,$H15&gt;0,$B15&lt;2,$J13&gt;999,$J13&lt;3000,$F15=0),$BM$4+($BT$2*$B15),0)</f>
        <v>0</v>
      </c>
      <c r="BA12" s="152">
        <f ca="1">IF(AND($H12=25,$H15&gt;0,$B15&gt;1.999,$J13&gt;999,$J13&lt;3000,$F15=0),$BN$4,0)</f>
        <v>0</v>
      </c>
      <c r="BB12" s="152">
        <f ca="1">IF(AND($H12=50,$H15&gt;0,$B15&gt;1.999,$J13&gt;999,$J13&lt;3000,$F15=0),$BO$4,0)</f>
        <v>0</v>
      </c>
      <c r="BC12" s="152">
        <f ca="1">IF(AND($H12=100,$H15&gt;0,$J13&gt;999,$J13&lt;3000,$B15&gt;1.999,$F15=0),$BO$4+($BT$2*$B15),0)</f>
        <v>0</v>
      </c>
      <c r="BD12" s="165">
        <f ca="1">IFERROR(IF(AND($H12=0,$H15=0,$G15&lt;&gt;0,$J13/$G15&lt;3000,$J13/$G15&gt;999,$F15=1),$BP$4/$G15,0),0)</f>
        <v>0</v>
      </c>
      <c r="BE12" s="151">
        <f ca="1">IFERROR(IF(AND($H12&gt;0,$H15=1,$G15&lt;&gt;0,$J13/$G15&lt;3000,$J13/$G15&gt;999,$F15=1),$BQ$4/$G15,0),0)</f>
        <v>0</v>
      </c>
      <c r="BF12" s="152">
        <f ca="1">IFERROR(IF(AND($H12&gt;0,$H15=2,$G15&lt;&gt;0,$J13/$G15&lt;3000,$J13/$G15&gt;999,$F15=1),$BR$4/$G15,0),0)</f>
        <v>0</v>
      </c>
      <c r="BG12" s="172">
        <f ca="1">IFERROR(IF(AND($H12&gt;0,$H15=3,$G15&lt;&gt;0,$J13/$G15&lt;3000,$J13/$G15&gt;999,$F15=1),$BS$4/$G15,0),0)</f>
        <v>0</v>
      </c>
      <c r="BI12" t="s">
        <v>999</v>
      </c>
    </row>
    <row r="13" spans="1:74" ht="23.85" customHeight="1">
      <c r="A13" s="260"/>
      <c r="B13" s="275" t="s">
        <v>968</v>
      </c>
      <c r="C13" s="274" t="s">
        <v>986</v>
      </c>
      <c r="D13" s="268" t="s">
        <v>987</v>
      </c>
      <c r="E13" s="268"/>
      <c r="F13" s="275" t="s">
        <v>988</v>
      </c>
      <c r="G13" s="149" t="s">
        <v>989</v>
      </c>
      <c r="H13" s="269" t="s">
        <v>971</v>
      </c>
      <c r="I13" s="149"/>
      <c r="J13" s="88">
        <f ca="1">IF(KLEJENIE!E$15=1,Kalk!AH10*2,Kalk!AH10)</f>
        <v>0</v>
      </c>
      <c r="K13" s="150">
        <f ca="1">IF(AND($C15=1,$J13&gt;0),IF($H12=100, SUM(AV15:BG15)+($BT$2*$B15), SUM(AV15:BG15)),IF(AND($B12=1,$J13&gt;0),SUM(AV15:BG15) + IF(AND($H15&gt;1,$F15=0), $H15*0.05-0.05, 0),0))</f>
        <v>0</v>
      </c>
      <c r="L13" s="150">
        <f ca="1">IF(AND($H12=0,$H15=0,$B15&lt;2,$J10&gt;2999,$F15=0),$BJ$5,0)</f>
        <v>0</v>
      </c>
      <c r="M13" s="150">
        <f ca="1">IF(AND($H12=0,$H15=0,$B15&gt;1.999,$J10&gt;2999,$F15=0),$BK$5,0)</f>
        <v>0</v>
      </c>
      <c r="N13" s="151">
        <f ca="1">IF(AND($H12=25,$H15&gt;0,$B15&lt;2,$J10&gt;2999,$F15=0),$BL$5,0)</f>
        <v>0</v>
      </c>
      <c r="O13" s="151">
        <f ca="1">IF(AND($H12=50,$H15&gt;0,$B15&lt;2,$J10&gt;2999,$F15=0),$BM$5,0)</f>
        <v>0</v>
      </c>
      <c r="P13" s="151">
        <f ca="1">IF(AND($H12=100,$H15&gt;0,$J10&gt;2999,$B15&lt;2,$F15=0),$BM$5+($BT$2*$B15),0)</f>
        <v>0</v>
      </c>
      <c r="Q13" s="152">
        <f ca="1">IF(AND($H12=25,$H15&gt;0,$B15&gt;1.999,$J10&gt;2999,$F15=0),$BN$5,0)</f>
        <v>0</v>
      </c>
      <c r="R13" s="152">
        <f ca="1">IF(AND($H12=50,$H15&gt;0,$B15&gt;1.999,$J10&gt;2999,$F15=0),$BO$5,0)</f>
        <v>0</v>
      </c>
      <c r="S13" s="152">
        <f ca="1">IF(AND($H12=100,$H15&gt;0,$J10&gt;2999,$B15&gt;1.999,$F15=0),$BO$5+($BT$2*$B15),0)</f>
        <v>0</v>
      </c>
      <c r="T13" s="165">
        <f ca="1">IF(AND($H12=0,$H15=0,$J10/$G15&gt;2999,$F15=1),$BP$5/$G15,0)</f>
        <v>0</v>
      </c>
      <c r="U13" s="151">
        <f ca="1">IFERROR(IF(AND($H12&gt;0,$H15=1,$J10/$G15&gt;2999,$F15=1),$BQ$5/$G15,0),0)</f>
        <v>0</v>
      </c>
      <c r="V13" s="152">
        <f ca="1">IFERROR(IF(AND($H12&gt;0,$H15=2,$J10/$G15&gt;2999,$F15=1),$BR$5/$G15,0),0)</f>
        <v>0</v>
      </c>
      <c r="W13" s="172">
        <f ca="1">IFERROR(IF(AND($H12&gt;0,$H15=3,$J10/$G15&gt;2999,$F15=1),$BS$5/$G15,0),0)</f>
        <v>0</v>
      </c>
      <c r="X13" s="150">
        <f ca="1">IF(AND($H12=0,$H15=0,$B15&lt;2,$J11&gt;2999,$F15=0),$BJ$5,0)</f>
        <v>0</v>
      </c>
      <c r="Y13" s="150">
        <f ca="1">IF(AND($H12=0,$H15=0,$B15&gt;1.999,$J11&gt;2999,$F15=0),$BK$5,0)</f>
        <v>0</v>
      </c>
      <c r="Z13" s="151">
        <f ca="1">IF(AND($H12=25,$H15&gt;0,$B15&lt;2,$J11&gt;2999,$F15=0),$BL$5,0)</f>
        <v>0</v>
      </c>
      <c r="AA13" s="151">
        <f ca="1">IF(AND($H12=50,$H15&gt;0,$B15&lt;2,$J11&gt;2999,$F15=0),$BM$5,0)</f>
        <v>0</v>
      </c>
      <c r="AB13" s="151">
        <f ca="1">IF(AND($H12=100,$H15&gt;0,$J11&gt;2999,$B15&lt;2,$F15=0),$BM$5+($BT$2*$B15),0)</f>
        <v>0</v>
      </c>
      <c r="AC13" s="152">
        <f ca="1">IF(AND($H12=25,$H15&gt;0,$B15&gt;1.999,$J11&gt;2999,$F15=0),$BN$5,0)</f>
        <v>0</v>
      </c>
      <c r="AD13" s="152">
        <f ca="1">IF(AND($H12=50,$H15&gt;0,$B15&gt;1.999,$J11&gt;2999,$F15=0),$BO$5,0)</f>
        <v>0</v>
      </c>
      <c r="AE13" s="152">
        <f ca="1">IF(AND($H12=50,$H15&gt;0,$B15&lt;2,$J11&gt;2999,$F15=0),$BM$5,0)</f>
        <v>0</v>
      </c>
      <c r="AF13" s="165">
        <f ca="1">IF(AND($H12=100,$H15&gt;0,$J11&gt;2999,$B15&lt;2,$F15=0),$BM$5+($BT$2*$B15),0)</f>
        <v>0</v>
      </c>
      <c r="AG13" s="151">
        <f ca="1">IF(AND($H12=25,$H15&gt;0,$B15&gt;1.999,$J11&gt;2999,$F15=0),$BN$5,0)</f>
        <v>0</v>
      </c>
      <c r="AH13" s="152">
        <f ca="1">IF(AND($H12=50,$H15&gt;0,$B15&gt;1.999,$J11&gt;2999,$F15=0),$BO$5,0)</f>
        <v>0</v>
      </c>
      <c r="AI13" s="172">
        <f ca="1">IF(AND($H12&gt;0,$H15=3,$G15&lt;&gt;0,$J11/$G15&gt;2999,$F15=1),$BS$5/$G15,0)</f>
        <v>0</v>
      </c>
      <c r="AJ13" s="150">
        <f ca="1">IF(AND($H12=0,$H15=0,$B15&lt;2,$J12&gt;2999,$F15=0),$BJ$5,0)</f>
        <v>0</v>
      </c>
      <c r="AK13" s="150">
        <f ca="1">IF(AND($H12=0,$H15=0,$B15&gt;1.999,$J12&gt;2999,$F15=0),$BK$5,0)</f>
        <v>0</v>
      </c>
      <c r="AL13" s="151">
        <f ca="1">IF(AND($H12=25,$H15&gt;0,$B15&lt;2,$J12&gt;2999,$F15=0),$BL$5,0)</f>
        <v>0</v>
      </c>
      <c r="AM13" s="151">
        <f ca="1">IF(AND($H12=50,$H15&gt;0,$B15&lt;2,$J12&gt;2999,$F15=0),$BM$5,0)</f>
        <v>0</v>
      </c>
      <c r="AN13" s="151">
        <f ca="1">IF(AND($H12=100,$H15&gt;0,$J12&gt;2999,$B15&lt;2,$F15=0),$BM$5+($BT$2*$B15),0)</f>
        <v>0</v>
      </c>
      <c r="AO13" s="152">
        <f ca="1">IF(AND($H12=25,$H15&gt;0,$B15&gt;1.999,$J12&gt;2999,$F15=0),$BN$5,0)</f>
        <v>0</v>
      </c>
      <c r="AP13" s="152">
        <f ca="1">IF(AND($H12=50,$H15&gt;0,$B15&gt;1.999,$J12&gt;2999,$F15=0),$BO$5,0)</f>
        <v>0</v>
      </c>
      <c r="AQ13" s="152">
        <f ca="1">IF(AND($H12=100,$H15&gt;0,$J12&gt;2999,$B15&gt;1.999,$F15=0),$BO$5+($BT$2*$B15),0)</f>
        <v>0</v>
      </c>
      <c r="AR13" s="165">
        <f ca="1">IF(AND($H12=0,$H15=0,$G15&lt;&gt;0,$J12/$G15&gt;2999,$F15=1),$BP$5/$G15,0)</f>
        <v>0</v>
      </c>
      <c r="AS13" s="151">
        <f ca="1">IF(AND($H12&gt;0,$H15=1,$G15&lt;&gt;0,$J12/$G15&gt;2999,$F15=1),$BQ$5/$G15,0)</f>
        <v>0</v>
      </c>
      <c r="AT13" s="152">
        <f ca="1">IF(AND($H12&gt;0,$H15=2,$G15&lt;&gt;0,$J12/$G15&gt;2999,$F15=1),$BR$5/$G15,0)</f>
        <v>0</v>
      </c>
      <c r="AU13" s="172">
        <f ca="1">IF(AND($H12&gt;0,$H15=3,$G15&lt;&gt;0,$J12/$G15&gt;2999,$F15=1),$BS$5/$G15,0)</f>
        <v>0</v>
      </c>
      <c r="AV13" s="150">
        <f ca="1">IF(AND($H12=0,$H15=0,$B15&lt;2,$J13&gt;2999,$F15=0),$BJ$5,0)</f>
        <v>0</v>
      </c>
      <c r="AW13" s="150">
        <f ca="1">IF(AND($H12=0,$H15=0,$B15&gt;1.999,$J13&gt;2999,$F15=0),$BK$5,0)</f>
        <v>0</v>
      </c>
      <c r="AX13" s="151">
        <f ca="1">IF(AND($H12=25,$H15&gt;0,$B15&lt;2,$J13&gt;2999,$F15=0),$BL$5,0)</f>
        <v>0</v>
      </c>
      <c r="AY13" s="151">
        <f ca="1">IF(AND($H12=50,$H15&gt;0,$B15&lt;2,$J13&gt;2999,$F15=0),$BM$5,0)</f>
        <v>0</v>
      </c>
      <c r="AZ13" s="151">
        <f ca="1">IF(AND($H12=100,$H15&gt;0,$B15&lt;2,$J13&gt;2999,$F15=0),$BM$5+($BT$2*$B15),0)</f>
        <v>0</v>
      </c>
      <c r="BA13" s="152">
        <f ca="1">IF(AND($H12=25,$H15&gt;0,$B15&gt;1.999,$J13&gt;2999,$F15=0),$BN$5,0)</f>
        <v>0</v>
      </c>
      <c r="BB13" s="152">
        <f ca="1">IF(AND($H12=50,$H15&gt;0,$B15&gt;1.999,$J13&gt;2999,$F15=0),$BO$5,0)</f>
        <v>0</v>
      </c>
      <c r="BC13" s="152">
        <f ca="1">IF(AND($H12=100,$H15&gt;0,$J13&gt;2999,$B15&gt;1.999,$F15=0),$BO$5+($BT$2*$B15),0)</f>
        <v>0</v>
      </c>
      <c r="BD13" s="165">
        <f ca="1">IFERROR(IF(AND($H12=0,$H15=0,$G15&lt;&gt;0,$J13/$G15&gt;2999,$F15=1),$BP$5/$G15,0),0)</f>
        <v>0</v>
      </c>
      <c r="BE13" s="151">
        <f ca="1">IFERROR(IF(AND($H12&gt;0,$H15=1,$G15&lt;&gt;0,$J13/$G15&gt;2999,$F15=1),$BQ$5/$G15,0),0)</f>
        <v>0</v>
      </c>
      <c r="BF13" s="152">
        <f ca="1">IFERROR(IF(AND($H12&gt;0,$H15=2,$G15&lt;&gt;0,$J13/$G15&gt;2999,$F15=1),$BR$5/$G15,0),0)</f>
        <v>0</v>
      </c>
      <c r="BG13" s="172">
        <f ca="1">IFERROR(IF(AND($H12&gt;0,$H15=3,$G15&lt;&gt;0,$J13/$G15&gt;2999,$F15=1),$BS$5/$G15,0),0)</f>
        <v>0</v>
      </c>
      <c r="BI13" t="s">
        <v>1000</v>
      </c>
    </row>
    <row r="14" spans="1:74" ht="13.35" customHeight="1">
      <c r="A14" s="260"/>
      <c r="B14" s="275"/>
      <c r="C14" s="274"/>
      <c r="D14" s="147"/>
      <c r="E14" s="147"/>
      <c r="F14" s="275"/>
      <c r="G14" s="178"/>
      <c r="H14" s="269"/>
      <c r="I14" s="178"/>
      <c r="J14" s="6"/>
      <c r="K14" s="157"/>
      <c r="L14" s="162"/>
      <c r="M14" s="162"/>
      <c r="N14" s="272" t="s">
        <v>975</v>
      </c>
      <c r="O14" s="272"/>
      <c r="P14" s="272"/>
      <c r="Q14" s="273" t="s">
        <v>976</v>
      </c>
      <c r="R14" s="273"/>
      <c r="S14" s="273"/>
      <c r="T14" s="271" t="s">
        <v>992</v>
      </c>
      <c r="U14" s="271"/>
      <c r="V14" s="271"/>
      <c r="W14" s="271"/>
      <c r="X14" s="162"/>
      <c r="Y14" s="162"/>
      <c r="Z14" s="272" t="s">
        <v>975</v>
      </c>
      <c r="AA14" s="272"/>
      <c r="AB14" s="272"/>
      <c r="AC14" s="273" t="s">
        <v>976</v>
      </c>
      <c r="AD14" s="273"/>
      <c r="AE14" s="273"/>
      <c r="AF14" s="271" t="s">
        <v>992</v>
      </c>
      <c r="AG14" s="271"/>
      <c r="AH14" s="271"/>
      <c r="AI14" s="271"/>
      <c r="AJ14" s="162"/>
      <c r="AK14" s="162"/>
      <c r="AL14" s="272" t="s">
        <v>975</v>
      </c>
      <c r="AM14" s="272"/>
      <c r="AN14" s="272"/>
      <c r="AO14" s="273" t="s">
        <v>976</v>
      </c>
      <c r="AP14" s="273"/>
      <c r="AQ14" s="273"/>
      <c r="AR14" s="271" t="s">
        <v>992</v>
      </c>
      <c r="AS14" s="271"/>
      <c r="AT14" s="271"/>
      <c r="AU14" s="271"/>
      <c r="AV14" s="162"/>
      <c r="AW14" s="162"/>
      <c r="AX14" s="272" t="s">
        <v>975</v>
      </c>
      <c r="AY14" s="272"/>
      <c r="AZ14" s="272"/>
      <c r="BA14" s="273" t="s">
        <v>976</v>
      </c>
      <c r="BB14" s="273"/>
      <c r="BC14" s="273"/>
      <c r="BD14" s="271" t="s">
        <v>992</v>
      </c>
      <c r="BE14" s="271"/>
      <c r="BF14" s="271"/>
      <c r="BG14" s="271"/>
      <c r="BI14" t="s">
        <v>1001</v>
      </c>
    </row>
    <row r="15" spans="1:74" ht="13.2">
      <c r="A15" s="260"/>
      <c r="B15" s="158">
        <f ca="1">IF(KLEJENIE!E15=1,Kalk!J11/2,Kalk!J11)</f>
        <v>3.7599999999999998E-4</v>
      </c>
      <c r="C15" s="153">
        <f ca="1">IF(SUM(D15:F15)=3,1,0)</f>
        <v>0</v>
      </c>
      <c r="D15" s="88">
        <f ca="1">IF((F11&gt;599)*AND(F11&lt;2851),1,0)</f>
        <v>0</v>
      </c>
      <c r="E15" s="88">
        <f ca="1">IF((G11&gt;399)*AND(G11&lt;1566),1,0)</f>
        <v>0</v>
      </c>
      <c r="F15" s="154">
        <f>IF(Kalk!B11="Die cut",1,0)</f>
        <v>0</v>
      </c>
      <c r="G15" s="154">
        <f>Kalk!J13*Kalk!J14</f>
        <v>1</v>
      </c>
      <c r="H15" s="154">
        <f>Kalk!W11</f>
        <v>0</v>
      </c>
      <c r="I15" s="154">
        <f>IF(OR(I14="F0200",I14="F0201",I14="F0202",I14="F0203",I14="F0201-F0203",I14="F0200-F0203",I14="F0501",I14="F0452"),1,0)</f>
        <v>0</v>
      </c>
      <c r="J15" s="160"/>
      <c r="K15" s="161"/>
      <c r="L15" s="88">
        <f t="shared" ref="L15:BG15" ca="1" si="1">SUM(L10:L14)</f>
        <v>0</v>
      </c>
      <c r="M15" s="88">
        <f t="shared" ca="1" si="1"/>
        <v>0</v>
      </c>
      <c r="N15" s="88">
        <f t="shared" ca="1" si="1"/>
        <v>0</v>
      </c>
      <c r="O15" s="88">
        <f t="shared" ca="1" si="1"/>
        <v>0</v>
      </c>
      <c r="P15" s="88">
        <f t="shared" ca="1" si="1"/>
        <v>0</v>
      </c>
      <c r="Q15" s="88">
        <f t="shared" ca="1" si="1"/>
        <v>0</v>
      </c>
      <c r="R15" s="88">
        <f t="shared" ca="1" si="1"/>
        <v>0</v>
      </c>
      <c r="S15" s="88">
        <f t="shared" ca="1" si="1"/>
        <v>0</v>
      </c>
      <c r="T15" s="88">
        <f t="shared" ca="1" si="1"/>
        <v>0</v>
      </c>
      <c r="U15" s="88">
        <f t="shared" ca="1" si="1"/>
        <v>0</v>
      </c>
      <c r="V15" s="88">
        <f t="shared" ca="1" si="1"/>
        <v>0</v>
      </c>
      <c r="W15" s="88">
        <f t="shared" ca="1" si="1"/>
        <v>0</v>
      </c>
      <c r="X15" s="88">
        <f t="shared" ca="1" si="1"/>
        <v>0</v>
      </c>
      <c r="Y15" s="88">
        <f t="shared" ca="1" si="1"/>
        <v>0</v>
      </c>
      <c r="Z15" s="88">
        <f t="shared" ca="1" si="1"/>
        <v>0</v>
      </c>
      <c r="AA15" s="88">
        <f t="shared" ca="1" si="1"/>
        <v>0</v>
      </c>
      <c r="AB15" s="88">
        <f t="shared" ca="1" si="1"/>
        <v>0</v>
      </c>
      <c r="AC15" s="88">
        <f t="shared" ca="1" si="1"/>
        <v>0</v>
      </c>
      <c r="AD15" s="88">
        <f t="shared" ca="1" si="1"/>
        <v>0</v>
      </c>
      <c r="AE15" s="88">
        <f t="shared" ca="1" si="1"/>
        <v>0</v>
      </c>
      <c r="AF15" s="88">
        <f t="shared" ca="1" si="1"/>
        <v>0</v>
      </c>
      <c r="AG15" s="88">
        <f t="shared" ca="1" si="1"/>
        <v>0</v>
      </c>
      <c r="AH15" s="88">
        <f t="shared" ca="1" si="1"/>
        <v>0</v>
      </c>
      <c r="AI15" s="88">
        <f t="shared" ca="1" si="1"/>
        <v>0</v>
      </c>
      <c r="AJ15" s="88">
        <f t="shared" ca="1" si="1"/>
        <v>0</v>
      </c>
      <c r="AK15" s="88">
        <f t="shared" ca="1" si="1"/>
        <v>0</v>
      </c>
      <c r="AL15" s="88">
        <f t="shared" ca="1" si="1"/>
        <v>0</v>
      </c>
      <c r="AM15" s="88">
        <f t="shared" ca="1" si="1"/>
        <v>0</v>
      </c>
      <c r="AN15" s="88">
        <f t="shared" ca="1" si="1"/>
        <v>0</v>
      </c>
      <c r="AO15" s="88">
        <f t="shared" ca="1" si="1"/>
        <v>0</v>
      </c>
      <c r="AP15" s="88">
        <f t="shared" ca="1" si="1"/>
        <v>0</v>
      </c>
      <c r="AQ15" s="88">
        <f t="shared" ca="1" si="1"/>
        <v>0</v>
      </c>
      <c r="AR15" s="88">
        <f t="shared" ca="1" si="1"/>
        <v>0</v>
      </c>
      <c r="AS15" s="88">
        <f t="shared" ca="1" si="1"/>
        <v>0</v>
      </c>
      <c r="AT15" s="88">
        <f t="shared" ca="1" si="1"/>
        <v>0</v>
      </c>
      <c r="AU15" s="88">
        <f t="shared" ca="1" si="1"/>
        <v>0</v>
      </c>
      <c r="AV15" s="88">
        <f t="shared" ca="1" si="1"/>
        <v>0</v>
      </c>
      <c r="AW15" s="88">
        <f t="shared" ca="1" si="1"/>
        <v>0</v>
      </c>
      <c r="AX15" s="88">
        <f t="shared" ca="1" si="1"/>
        <v>0</v>
      </c>
      <c r="AY15" s="88">
        <f t="shared" ca="1" si="1"/>
        <v>0</v>
      </c>
      <c r="AZ15" s="88">
        <f t="shared" ca="1" si="1"/>
        <v>0</v>
      </c>
      <c r="BA15" s="88">
        <f t="shared" ca="1" si="1"/>
        <v>0</v>
      </c>
      <c r="BB15" s="88">
        <f t="shared" ca="1" si="1"/>
        <v>0</v>
      </c>
      <c r="BC15" s="88">
        <f t="shared" ca="1" si="1"/>
        <v>0</v>
      </c>
      <c r="BD15" s="88">
        <f t="shared" ca="1" si="1"/>
        <v>0</v>
      </c>
      <c r="BE15" s="88">
        <f t="shared" ca="1" si="1"/>
        <v>0</v>
      </c>
      <c r="BF15" s="88">
        <f t="shared" ca="1" si="1"/>
        <v>0</v>
      </c>
      <c r="BG15" s="88">
        <f t="shared" ca="1" si="1"/>
        <v>0</v>
      </c>
      <c r="BI15" t="s">
        <v>1002</v>
      </c>
    </row>
    <row r="16" spans="1:74" ht="13.2">
      <c r="A16" s="260"/>
      <c r="B16" s="123"/>
      <c r="C16" s="123"/>
      <c r="D16" s="123"/>
      <c r="E16" s="159"/>
      <c r="F16" s="6"/>
      <c r="G16" s="6"/>
      <c r="H16" s="6"/>
      <c r="I16" s="6"/>
      <c r="J16" s="166"/>
      <c r="BI16" t="s">
        <v>1003</v>
      </c>
    </row>
    <row r="17" spans="1:61" ht="13.2">
      <c r="B17" s="167"/>
      <c r="C17" s="167"/>
      <c r="D17" s="167"/>
      <c r="E17" s="167"/>
      <c r="F17" s="167"/>
      <c r="G17" s="167"/>
      <c r="H17" s="167"/>
      <c r="I17" s="167"/>
      <c r="J17" s="88" t="s">
        <v>83</v>
      </c>
      <c r="K17" s="110" t="s">
        <v>956</v>
      </c>
      <c r="L17" s="110" t="s">
        <v>975</v>
      </c>
      <c r="M17" s="110" t="s">
        <v>976</v>
      </c>
      <c r="N17" s="116" t="s">
        <v>958</v>
      </c>
      <c r="O17" s="116" t="s">
        <v>959</v>
      </c>
      <c r="P17" s="116" t="s">
        <v>960</v>
      </c>
      <c r="Q17" s="146" t="s">
        <v>958</v>
      </c>
      <c r="R17" s="146" t="s">
        <v>959</v>
      </c>
      <c r="S17" s="146" t="s">
        <v>960</v>
      </c>
      <c r="T17" s="88" t="s">
        <v>977</v>
      </c>
      <c r="U17" s="108" t="s">
        <v>978</v>
      </c>
      <c r="V17" s="170" t="s">
        <v>979</v>
      </c>
      <c r="W17" s="171" t="s">
        <v>980</v>
      </c>
      <c r="X17" s="110" t="s">
        <v>975</v>
      </c>
      <c r="Y17" s="110" t="s">
        <v>976</v>
      </c>
      <c r="Z17" s="116" t="s">
        <v>958</v>
      </c>
      <c r="AA17" s="116" t="s">
        <v>959</v>
      </c>
      <c r="AB17" s="116" t="s">
        <v>960</v>
      </c>
      <c r="AC17" s="146" t="s">
        <v>958</v>
      </c>
      <c r="AD17" s="146" t="s">
        <v>959</v>
      </c>
      <c r="AE17" s="146" t="s">
        <v>960</v>
      </c>
      <c r="AF17" s="88" t="s">
        <v>977</v>
      </c>
      <c r="AG17" s="108" t="s">
        <v>978</v>
      </c>
      <c r="AH17" s="170" t="s">
        <v>979</v>
      </c>
      <c r="AI17" s="171" t="s">
        <v>980</v>
      </c>
      <c r="AJ17" s="110" t="s">
        <v>975</v>
      </c>
      <c r="AK17" s="110" t="s">
        <v>976</v>
      </c>
      <c r="AL17" s="116" t="s">
        <v>958</v>
      </c>
      <c r="AM17" s="116" t="s">
        <v>959</v>
      </c>
      <c r="AN17" s="116" t="s">
        <v>960</v>
      </c>
      <c r="AO17" s="146" t="s">
        <v>958</v>
      </c>
      <c r="AP17" s="146" t="s">
        <v>959</v>
      </c>
      <c r="AQ17" s="146" t="s">
        <v>960</v>
      </c>
      <c r="AR17" s="88" t="s">
        <v>977</v>
      </c>
      <c r="AS17" s="108" t="s">
        <v>978</v>
      </c>
      <c r="AT17" s="170" t="s">
        <v>979</v>
      </c>
      <c r="AU17" s="171" t="s">
        <v>980</v>
      </c>
      <c r="AV17" s="110" t="s">
        <v>975</v>
      </c>
      <c r="AW17" s="110" t="s">
        <v>976</v>
      </c>
      <c r="AX17" s="116" t="s">
        <v>958</v>
      </c>
      <c r="AY17" s="116" t="s">
        <v>959</v>
      </c>
      <c r="AZ17" s="116" t="s">
        <v>960</v>
      </c>
      <c r="BA17" s="146" t="s">
        <v>958</v>
      </c>
      <c r="BB17" s="146" t="s">
        <v>959</v>
      </c>
      <c r="BC17" s="146" t="s">
        <v>960</v>
      </c>
      <c r="BD17" s="88" t="s">
        <v>977</v>
      </c>
      <c r="BE17" s="108" t="s">
        <v>978</v>
      </c>
      <c r="BF17" s="170" t="s">
        <v>979</v>
      </c>
      <c r="BG17" s="171" t="s">
        <v>980</v>
      </c>
      <c r="BI17" t="s">
        <v>1004</v>
      </c>
    </row>
    <row r="18" spans="1:61" ht="12.9" customHeight="1">
      <c r="A18" s="260">
        <v>3</v>
      </c>
      <c r="B18" s="274" t="s">
        <v>982</v>
      </c>
      <c r="C18" s="147" t="s">
        <v>56</v>
      </c>
      <c r="D18" s="147" t="s">
        <v>57</v>
      </c>
      <c r="E18" s="147" t="s">
        <v>66</v>
      </c>
      <c r="F18" s="268" t="s">
        <v>963</v>
      </c>
      <c r="G18" s="268"/>
      <c r="H18" s="269" t="s">
        <v>965</v>
      </c>
      <c r="I18" s="269" t="s">
        <v>970</v>
      </c>
      <c r="J18" s="88">
        <f ca="1">IF(KLEJENIE!E$23=1,Kalk!AH11*2,Kalk!AH11)</f>
        <v>0</v>
      </c>
      <c r="K18" s="150">
        <f ca="1">IF(AND($C23=1,$J18&gt;0),IF($H20=100, SUM(L23:W23)+($BT$2*$B23), SUM(L23:W23)),IF(AND($B20=1,$J18&gt;0),SUM(L23:W23)+IF(AND($H23&gt;1,$F23=0), $H23*0.05-0.05, 0),0))</f>
        <v>0</v>
      </c>
      <c r="L18" s="150">
        <f ca="1">IF(AND($H20=0,$H23=0,$J18&lt;500,$J18&gt;0,$B23&lt;2,$F23=0),BJ18/$J18,0)</f>
        <v>0</v>
      </c>
      <c r="M18" s="150">
        <f ca="1">IF(AND($H20=0,$H23=0,$J18&lt;500,$J18&gt;0,$B23&gt;1.999,$F23=0),BK18/$J18,0)</f>
        <v>0</v>
      </c>
      <c r="N18" s="151">
        <f ca="1">IF(AND($H23&gt;0,$H20=25,$B23&lt;2,$J18&lt;500,$F23=0),BV21/$J18,0)</f>
        <v>0</v>
      </c>
      <c r="O18" s="151">
        <f ca="1">IF(AND($H23&gt;0,$H20=50,$B23&lt;2,$J18&gt;0,$J18&lt;500,$F23=0),150/$J18,0)</f>
        <v>0</v>
      </c>
      <c r="P18" s="151">
        <f ca="1">IF(AND($H23&gt;0,$H20=100,$J18&gt;0,$J18&lt;500,$B23&lt;2,$F23=0),(BV21/$J18)+($BT$2*$B23),0)</f>
        <v>0</v>
      </c>
      <c r="Q18" s="152">
        <f ca="1">IF(AND($H23&gt;0,$H20=25,$J18&gt;0,$J18&lt;500,$B23&gt;1.999,$F23=0),BV21/$J18,0)</f>
        <v>0</v>
      </c>
      <c r="R18" s="152">
        <f ca="1">IF(AND($H23&gt;0,$H20=50,$J18&lt;500,$B23&gt;1.999,$F23=0),150/$J18,0)</f>
        <v>0</v>
      </c>
      <c r="S18" s="152">
        <f ca="1">IF(AND($H23&gt;0,$H20=100,$J18&lt;500,$B23&gt;1.999,$F23=0),(BV21/$J18)+($BT$2*$B23),0)</f>
        <v>0</v>
      </c>
      <c r="T18" s="165">
        <f ca="1">IF(AND($H20=0,$H23=0,$J18/$G23&lt;500,$J18/$G23&gt;0,$F23=1),BP18/$J18,0)</f>
        <v>0</v>
      </c>
      <c r="U18" s="151">
        <f ca="1">IFERROR(IF(AND($H20&gt;0,$H23=1,$J18/$G23&lt;500,$J18/$G23&gt;0,$F23=1),BQ18/$J18,0),0)</f>
        <v>0</v>
      </c>
      <c r="V18" s="152">
        <f ca="1">IFERROR(IF(AND($H20&gt;0,$H23=2,$J18/$G23&lt;500,$J18/$G23&gt;0,$F23=1),BR18/$J18,0),0)</f>
        <v>0</v>
      </c>
      <c r="W18" s="172">
        <f ca="1">IFERROR(IF(AND($H20&gt;0,$H23=3,$J18/$G23&lt;500,$J18/$G23&gt;0,$F23=1),BS18/$J18,0),0)</f>
        <v>0</v>
      </c>
      <c r="X18" s="150">
        <f ca="1">IF(AND($H20=0,$H23=0,$J19&lt;500,$J19&gt;0,$B23&lt;2,$F23=0),BJ18/$J19,0)</f>
        <v>0</v>
      </c>
      <c r="Y18" s="150">
        <f ca="1">IF(AND($H20=0,$H23=0,$J19&lt;500,$J19&gt;0,$B23&gt;1.999,$F23=0),BK18/$J19,0)</f>
        <v>0</v>
      </c>
      <c r="Z18" s="151">
        <f ca="1">IF(AND($H23&gt;0,$H20=25,$B23&lt;2,$J19&lt;500,$F23=0),BV21/$J19,0)</f>
        <v>0</v>
      </c>
      <c r="AA18" s="151">
        <f ca="1">IF(AND($H23&gt;0,$H20=50,$B23&lt;2,$J19&lt;500,$F23=0),150/$J19,0)</f>
        <v>0</v>
      </c>
      <c r="AB18" s="151">
        <f ca="1">IF(AND($H23&gt;0,$H20=100,$J19&lt;500,$B23&lt;2,$F23=0),(BV21/$J19)+($BT$2*$B23),0)</f>
        <v>0</v>
      </c>
      <c r="AC18" s="152">
        <f ca="1">IF(AND($H23&gt;0,$H20=25,$J19&lt;500,$B23&gt;1.999,$F23=0),BV21/$J19,0)</f>
        <v>0</v>
      </c>
      <c r="AD18" s="152">
        <f ca="1">IF(AND($H23&gt;0,$H20=50,$J19&lt;500,$B23&gt;1.999,$F23=0),150/$J19,0)</f>
        <v>0</v>
      </c>
      <c r="AE18" s="152">
        <f ca="1">IF(AND($H23&gt;0,$H20=50,$B23&lt;2,$J19&gt;0,$J19&lt;500,$F23=0),150/$J19,0)</f>
        <v>0</v>
      </c>
      <c r="AF18" s="165">
        <f ca="1">IF(AND($H23&gt;0,$H20=100,$J19&gt;0,$J19&lt;500,$B23&lt;2,$F23=0),(BV21/$J19)+($BT$2*$B23),0)</f>
        <v>0</v>
      </c>
      <c r="AG18" s="151">
        <f ca="1">IF(AND($H23&gt;0,$H20=25,$J19&gt;0,$J19&lt;500,$B23&gt;1.999,$F23=0),BV21/$J19,0)</f>
        <v>0</v>
      </c>
      <c r="AH18" s="152">
        <f ca="1">IF(AND($H23&gt;0,$H20=50,$J19&gt;0,$J19&lt;500,$B23&gt;1.999,$F23=0),150/$J19,0)</f>
        <v>0</v>
      </c>
      <c r="AI18" s="172">
        <f ca="1">IF(AND($H20&gt;0,$H23=3,$G23&lt;&gt;0,$J19&gt;0,$J19/$G23&gt;0,$J19/$G23&lt;500,$F23=1),BS18/$J19,0)</f>
        <v>0</v>
      </c>
      <c r="AJ18" s="150">
        <f ca="1">IF(AND($H20=0,$H23=0,$J20&gt;0,$J20&lt;500,$B23&lt;2,$F23=0),BJ18/$J20,0)</f>
        <v>0</v>
      </c>
      <c r="AK18" s="150">
        <f ca="1">IF(AND($H20=0,$H23=0,$J20&gt;0,$J20&lt;500,$B23&gt;1.999,$F23=0),BK18/$J20,0)</f>
        <v>0</v>
      </c>
      <c r="AL18" s="151">
        <f ca="1">IF(AND($H23&gt;0,$H20=25,$B23&lt;2,$J20&gt;0,$J20&lt;500,$F23=0),BV21/$J20,0)</f>
        <v>0</v>
      </c>
      <c r="AM18" s="151">
        <f ca="1">IF(AND($H23&gt;0,$H20=50,$B23&lt;2,$J20&gt;0,$J20&lt;500,$F23=0),BV21/$J20,0)</f>
        <v>0</v>
      </c>
      <c r="AN18" s="151">
        <f ca="1">IF(AND($H23&gt;0,$H20=100,$J20&gt;0,$J20&lt;500,$B23&lt;2,$F23=0),(BV21/$J20)+($BT$2*$B23),0)</f>
        <v>0</v>
      </c>
      <c r="AO18" s="152">
        <f ca="1">IF(AND($H23&gt;0,$H20=25,$J20&gt;0,$J20&lt;500,$B23&gt;1.999,$F23=0),BV21/$J20,0)</f>
        <v>0</v>
      </c>
      <c r="AP18" s="152">
        <f ca="1">IF(AND($H23&gt;0,$H20=50,$J20&gt;0,$J20&lt;500,$B23&gt;1.999,$F23=0),150/$J20,0)</f>
        <v>0</v>
      </c>
      <c r="AQ18" s="152">
        <f ca="1">IF(AND($H23&gt;0,$H20=100,$J20&gt;0,$J20&lt;500,$B23&gt;1.999,$F23=0),(BV21/$J20)+($BT$2*$B23),0)</f>
        <v>0</v>
      </c>
      <c r="AR18" s="165">
        <f ca="1">IF(AND($H20=0,$H23=0,$G23&lt;&gt;0,$J20&gt;0,$J20/$G23&lt;500,$J20/$G23&gt;0,$F23=1),BP18/$J20,0)</f>
        <v>0</v>
      </c>
      <c r="AS18" s="151">
        <f ca="1">IF(AND($H20&gt;0,$H23=1,$G23&lt;&gt;0,$J20&gt;0,$J20/$G23&lt;500,$J20/$G23&gt;0,$F23=1),BQ18/$J20,0)</f>
        <v>0</v>
      </c>
      <c r="AT18" s="152">
        <f ca="1">IF(AND($H20&gt;0,$H23=2,$G23&lt;&gt;0,$J20&gt;0,$J20/$G23&lt;500,$J20/$G23&gt;0,$F23=1),BR18/$J20,0)</f>
        <v>0</v>
      </c>
      <c r="AU18" s="172">
        <f ca="1">IF(AND($H20&gt;0,$H23=3,$G23&lt;&gt;0,$J20&gt;0,$J20/$G23&lt;500,$J20/$G23&gt;0,$F23=1),BS18/$J20,0)</f>
        <v>0</v>
      </c>
      <c r="AV18" s="150">
        <f ca="1">IF(AND($H20=0,$H23=0,$J21&gt;0,$J21&lt;500,$B23&lt;2,$F23=0),BJ18/$J21,0)</f>
        <v>0</v>
      </c>
      <c r="AW18" s="150">
        <f ca="1">IF(AND($H20=0,$H23=0,$J21&gt;0,$J21&lt;500,$B23&gt;1.999,$F23=0),BK18/$J21,0)</f>
        <v>0</v>
      </c>
      <c r="AX18" s="151">
        <f ca="1">IF(AND($H23&gt;0,$H20=25,$B23&lt;2,$J21&gt;0,$J21&lt;500,$F23=0),BV21/$J21,0)</f>
        <v>0</v>
      </c>
      <c r="AY18" s="151">
        <f ca="1">IF(AND($H23&gt;0,$H20=50,$B23&lt;2,$J21&gt;0,$J21&lt;500,$F23=0),150/$J21,0)</f>
        <v>0</v>
      </c>
      <c r="AZ18" s="151">
        <f ca="1">IF(AND($H23&gt;0,$H20=100,$B23&lt;2,$J21&gt;0,$J21&lt;500,$F23=0),(BV21/$J21)+($BT$2*$B23),0)</f>
        <v>0</v>
      </c>
      <c r="BA18" s="152">
        <f ca="1">IF(AND($H23&gt;0,$H20=25,$J21&gt;0,$J21&lt;500,$B23&gt;1.999,$F23=0),BV21/$J21,0)</f>
        <v>0</v>
      </c>
      <c r="BB18" s="152">
        <f ca="1">IF(AND($H23&gt;0,$H20=50,$J21&gt;0,$J21&lt;500,$B23&gt;1.999,$F23=0),150/$J21,0)</f>
        <v>0</v>
      </c>
      <c r="BC18" s="152">
        <f ca="1">IF(AND($H23&gt;0,$H20=100,$J21&gt;0,$J21&lt;500,$B23&gt;1.999,$F23=0),(BV21/$J21)+($BT$2*$B23),0)</f>
        <v>0</v>
      </c>
      <c r="BD18" s="165">
        <f ca="1">IFERROR(IF(AND($H20=0,$H23=0,$G23&lt;&gt;0,$J21&gt;0,$J21/$G23&lt;500,$J21/$G23&gt;0,$F23=1),BP18/$J21,0),0)</f>
        <v>0</v>
      </c>
      <c r="BE18" s="151">
        <f ca="1">IFERROR(IF(AND($H20&gt;0,$H23=1,$G23&lt;&gt;0,$J21&gt;0,$J21/$G23&lt;500,$J21/$G23&gt;0,$F23=1),BQ18/$J21,0),0)</f>
        <v>0</v>
      </c>
      <c r="BF18" s="152">
        <f ca="1">IFERROR(IF(AND($H20&gt;0,$H23=2,$G23&lt;&gt;0,$J21&gt;0,$J21/$G23&lt;500,$J21/$G23&gt;0,$F23=1),BR18/$J21,0),0)</f>
        <v>0</v>
      </c>
      <c r="BG18" s="172">
        <f ca="1">IFERROR(IF(AND($H20&gt;0,$H23=3,$G23&lt;&gt;0,$J21&gt;0,$J21/$G23&lt;500,$J21/$G23&gt;0,$F23=1),BS18/$J21,0),0)</f>
        <v>0</v>
      </c>
      <c r="BI18" t="s">
        <v>1005</v>
      </c>
    </row>
    <row r="19" spans="1:61" ht="13.2">
      <c r="A19" s="260"/>
      <c r="B19" s="274"/>
      <c r="C19" s="174">
        <f>Kalk!C12</f>
        <v>0</v>
      </c>
      <c r="D19" s="174">
        <f>Kalk!E12</f>
        <v>0</v>
      </c>
      <c r="E19" s="147">
        <f>Kalk!G12</f>
        <v>0</v>
      </c>
      <c r="F19" s="147">
        <f ca="1">IF(KLEJENIE!E23=1,Kalk!H12,Kalk!I12)</f>
        <v>47</v>
      </c>
      <c r="G19" s="147">
        <f ca="1">Kalk!I14</f>
        <v>8</v>
      </c>
      <c r="H19" s="269"/>
      <c r="I19" s="269"/>
      <c r="J19" s="88">
        <f ca="1">IF(KLEJENIE!E$23=1,Kalk!AH12*2,Kalk!AH12)</f>
        <v>0</v>
      </c>
      <c r="K19" s="150">
        <f ca="1">IF(AND($C23=1,$J19&gt;0),IF($H20=100, SUM(X23:AI23)+($BT$2*$B23), SUM(X23:AI23)),IF(AND($B20=1,$J19&gt;0),SUM(X23:AI23) + IF(AND($H23&gt;1,$F23=0), $H23*0.05-0.05, 0),0))</f>
        <v>0</v>
      </c>
      <c r="L19" s="150">
        <f ca="1">IF(AND($H20=0,$H23=0,$B23&lt;2,$J18&gt;499,$J18&lt;1000,$F23=0),$BJ$3,0)</f>
        <v>0</v>
      </c>
      <c r="M19" s="150">
        <f ca="1">IF(AND($H20=0,$H23=0,$B23&gt;1.999,$J18&gt;499,$J18&lt;1000,$F23=0),$BK$3,0)</f>
        <v>0</v>
      </c>
      <c r="N19" s="151">
        <f ca="1">IF(AND($H20=25,$H23&gt;0,$B23&lt;2,$J18&gt;499,$J18&lt;1000,$F23=0),$BL$3,0)</f>
        <v>0</v>
      </c>
      <c r="O19" s="151">
        <f ca="1">IF(AND($H20=50,$H23&gt;0,$B23&lt;2,$J18&gt;499,$J18&lt;1000,$F23=0),$BM$3,0)</f>
        <v>0</v>
      </c>
      <c r="P19" s="151">
        <f ca="1">IF(AND($H20=100,$H23&gt;0,$J18&gt;499,$J18&lt;1000,$B23&lt;2,$F23=0),$BM$3+($BT$2*$B23),0)</f>
        <v>0</v>
      </c>
      <c r="Q19" s="152">
        <f ca="1">IF(AND($H20=25,$H23&gt;0,$B23&gt;1.999,$J18&gt;499,$J18&lt;1000,$F23=0),$BN$3,0)</f>
        <v>0</v>
      </c>
      <c r="R19" s="152">
        <f ca="1">IF(AND($H20=50,$H23&gt;0,$J18&gt;499,$J18&lt;1000,$B23&gt;1.999,$F23=0),$BO$3,0)</f>
        <v>0</v>
      </c>
      <c r="S19" s="152">
        <f ca="1">IF(AND($H20=100,$H23&gt;0,$J18&gt;499,$J18&lt;1000,$B23&gt;1.999,$F23=0),$BO$3+($BT$2*$B23),0)</f>
        <v>0</v>
      </c>
      <c r="T19" s="165">
        <f ca="1">IF(AND($H20=0,$H23=0,$J18/$G23&lt;1000,$J18/$G23&gt;499,$F23=1),$BP$3/$G23,0)</f>
        <v>0</v>
      </c>
      <c r="U19" s="151">
        <f ca="1">IFERROR(IF(AND($H20&gt;0,$H23=1,$J18/$G23&lt;1000,$J18/$G23&gt;499,$F23=1),$BQ$3/$G23,0),0)</f>
        <v>0</v>
      </c>
      <c r="V19" s="152">
        <f ca="1">IFERROR(IF(AND($H20&gt;0,$H23=2,$J18/$G23&lt;1000,$J18/$G23&gt;499,$F23=1),$BR$3/$G23,0),0)</f>
        <v>0</v>
      </c>
      <c r="W19" s="172">
        <f ca="1">IFERROR(IF(AND($H20&gt;0,$H23=3,$J18/$G23&lt;1000,$J18/$G23&gt;499,$F23=1),$BS$3/$G23,0),0)</f>
        <v>0</v>
      </c>
      <c r="X19" s="150">
        <f ca="1">IF(AND($H20=0,$H23=0,$B23&lt;2,$J19&gt;499,$J19&lt;1000,$F23=0),$BJ$3,0)</f>
        <v>0</v>
      </c>
      <c r="Y19" s="150">
        <f ca="1">IF(AND($H20=0,$H23=0,$B23&gt;1.999,$J19&gt;499,$J19&lt;1000,$F23=0),$BK$3,0)</f>
        <v>0</v>
      </c>
      <c r="Z19" s="151">
        <f ca="1">IF(AND($H20=25,$H23&gt;0,$B23&lt;2,$J19&gt;499,$J19&lt;1000,$F23=0),$BL$3,0)</f>
        <v>0</v>
      </c>
      <c r="AA19" s="151">
        <f ca="1">IF(AND($H20=50,$H23&gt;0,$B23&lt;2,$J19&gt;499,$J19&lt;1000,$F23=0),$BM$3,0)</f>
        <v>0</v>
      </c>
      <c r="AB19" s="151">
        <f ca="1">IF(AND($H20=100,$H23&gt;0,$J19&gt;499,$J19&lt;1000,$B23&lt;2,$F23=0),$BM$3+($BT$2*$B23),0)</f>
        <v>0</v>
      </c>
      <c r="AC19" s="152">
        <f ca="1">IF(AND($H20=25,$H23&gt;0,$B23&gt;1.999,$J19&gt;499,$J19&lt;1000,$F23=0),$BN$3,0)</f>
        <v>0</v>
      </c>
      <c r="AD19" s="152">
        <f ca="1">IF(AND($H20=50,$H23&gt;0,$J19&gt;499,$J19&lt;1000,$B23&gt;1.999,$F23=0),$BO$3,0)</f>
        <v>0</v>
      </c>
      <c r="AE19" s="152">
        <f ca="1">IF(AND($H20=50,$H23&gt;0,$B23&lt;2,$J19&gt;499,$J19&lt;1000,$F23=0),$BM$3,0)</f>
        <v>0</v>
      </c>
      <c r="AF19" s="165">
        <f ca="1">IF(AND($H20=100,$H23&gt;0,$J19&gt;499,$J19&lt;1000,$B23&lt;2,$F23=0),$BM$3+($BT$2*$B23),0)</f>
        <v>0</v>
      </c>
      <c r="AG19" s="151">
        <f ca="1">IF(AND($H20=25,$H23&gt;0,$B23&gt;1.999,$J19&gt;499,$J19&lt;1000,$F23=0),$BN$3,0)</f>
        <v>0</v>
      </c>
      <c r="AH19" s="152">
        <f ca="1">IF(AND($H20=50,$H23&gt;0,$J19&gt;499,$J19&lt;1000,$B23&gt;1.999,$F23=0),$BO$3,0)</f>
        <v>0</v>
      </c>
      <c r="AI19" s="172">
        <f ca="1">IF(AND($H20&gt;0,$H23=3,$G23&lt;&gt;0,$J19/$G23&gt;499,$J19/$G23&lt;1000,$F23=1),$BS$3/$G23,0)</f>
        <v>0</v>
      </c>
      <c r="AJ19" s="150">
        <f ca="1">IF(AND($H20=0,$H23=0,$B23&lt;2,$J20&gt;499,$J20&lt;1000,$F23=0),$BJ$3,0)</f>
        <v>0</v>
      </c>
      <c r="AK19" s="150">
        <f ca="1">IF(AND($H20=0,$H23=0,$B23&gt;1.999,$J20&gt;499,$J20&lt;1000,$F23=0),$BK$3,0)</f>
        <v>0</v>
      </c>
      <c r="AL19" s="151">
        <f ca="1">IF(AND($H20=25,$H23&gt;0,$B23&lt;2,$J20&gt;499,$J20&lt;1000,$F23=0),$BL$3,0)</f>
        <v>0</v>
      </c>
      <c r="AM19" s="151">
        <f ca="1">IF(AND($H20=50,$H23&gt;0,$B23&lt;2,$J20&gt;499,$J20&lt;1000,$F23=0),$BM$3,0)</f>
        <v>0</v>
      </c>
      <c r="AN19" s="151">
        <f ca="1">IF(AND($H20=100,$H23&gt;0,$J20&gt;499,$J20&lt;1000,$B23&lt;2,$F23=0),$BM$3+($BT$2*$B23),0)</f>
        <v>0</v>
      </c>
      <c r="AO19" s="152">
        <f ca="1">IF(AND($H20=25,$H23&gt;0,$B23&gt;1.999,$J20&gt;499,$J20&lt;1000,$F23=0),$BN$3,0)</f>
        <v>0</v>
      </c>
      <c r="AP19" s="152">
        <f ca="1">IF(AND($H20=50,$H23&gt;0,$J20&gt;499,$J20&lt;1000,$B23&gt;1.999,$F23=0),$BO$3,0)</f>
        <v>0</v>
      </c>
      <c r="AQ19" s="152">
        <f ca="1">IF(AND($H20=100,$H23&gt;0,$J20&gt;499,$J20&lt;1000,$B23&gt;1.999,$F23=0),$BO$3+($BT$2*$B23),0)</f>
        <v>0</v>
      </c>
      <c r="AR19" s="165">
        <f ca="1">IF(AND($H20=0,$H23=0,$G23&lt;&gt;0,$J20/$G23&lt;1000,$J20/$G23&gt;499,$F23=1),$BP$3/$G23,0)</f>
        <v>0</v>
      </c>
      <c r="AS19" s="151">
        <f ca="1">IF(AND($H20&gt;0,$H23=1,$G23&lt;&gt;0,$J20/$G23&lt;1000,$J20/$G23&gt;499,$F23=1),$BQ$3/$G23,0)</f>
        <v>0</v>
      </c>
      <c r="AT19" s="152">
        <f ca="1">IF(AND($H20&gt;0,$H23=2,$G23&lt;&gt;0,$J20/$G23&lt;1000,$J20/$G23&gt;499,$F23=1),$BR$3/$G23,0)</f>
        <v>0</v>
      </c>
      <c r="AU19" s="172">
        <f ca="1">IF(AND($H20&gt;0,$H23=3,$G23&lt;&gt;0,$J20/$G23&lt;1000,$J20/$G23&gt;499,$F23=1),$BS$3/$G23,0)</f>
        <v>0</v>
      </c>
      <c r="AV19" s="150">
        <f ca="1">IF(AND($H20=0,$H23=0,$B23&lt;2,$J21&gt;499,$J21&lt;1000,$F23=0),$BJ$3,0)</f>
        <v>0</v>
      </c>
      <c r="AW19" s="150">
        <f ca="1">IF(AND($H20=0,$H23=0,$B23&gt;1.999,$J21&gt;499,$J21&lt;1000,$F23=0),$BK$3,0)</f>
        <v>0</v>
      </c>
      <c r="AX19" s="151">
        <f ca="1">IF(AND($H20=25,$H23&gt;0,$B23&lt;2,$J21&gt;499,$J21&lt;1000,$F23=0),$BL$3,0)</f>
        <v>0</v>
      </c>
      <c r="AY19" s="151">
        <f ca="1">IF(AND($H20=50,$H23&gt;0,$B23&lt;2,$J21&gt;499,$J21&lt;1000,$F23=0),$BM$3,0)</f>
        <v>0</v>
      </c>
      <c r="AZ19" s="151">
        <f ca="1">IF(AND($H20=100,$H23&gt;0,$B23&lt;2,$J21&gt;499,$J21&lt;1000,$F23=0),$BM$3+($BT$2*$B23),0)</f>
        <v>0</v>
      </c>
      <c r="BA19" s="152">
        <f ca="1">IF(AND($H20=25,$H23&gt;0,$B23&gt;1.999,$J21&gt;499,$J21&lt;1000,$F23=0),$BN$3,0)</f>
        <v>0</v>
      </c>
      <c r="BB19" s="152">
        <f ca="1">IF(AND($H20=50,$H23&gt;0,$J21&gt;499,$J21&lt;1000,$B23&gt;1.999,$F23=0),$BO$3,0)</f>
        <v>0</v>
      </c>
      <c r="BC19" s="152">
        <f ca="1">IF(AND($H20=100,$H23&gt;0,$J21&gt;499,$J21&lt;1000,$B23&gt;1.999,$F23=0),$BO$3+($BT$2*$B23),0)</f>
        <v>0</v>
      </c>
      <c r="BD19" s="165">
        <f ca="1">IFERROR(IF(AND($H20=0,$H23=0,$G23&lt;&gt;0,$J21/$G23&lt;1000,$J21/$G23&gt;499,$F23=1),$BP$3/$G23,0),0)</f>
        <v>0</v>
      </c>
      <c r="BE19" s="151">
        <f ca="1">IFERROR(IF(AND($H20&gt;0,$H23=1,$G23&lt;&gt;0,$J21/$G23&lt;1000,$J21/$G23&gt;499,$F23=1),$BQ$3/$G23,0),0)</f>
        <v>0</v>
      </c>
      <c r="BF19" s="152">
        <f ca="1">IFERROR(IF(AND($H20&gt;0,$H23=2,$G23&lt;&gt;0,$J21/$G23&lt;1000,$J21/$G23&gt;499,$F23=1),$BR$3/$G23,0),0)</f>
        <v>0</v>
      </c>
      <c r="BG19" s="172">
        <f ca="1">IFERROR(IF(AND($H20&gt;0,$H23=3,$G23&lt;&gt;0,$J21/$G23&lt;1000,$J21/$G23&gt;499,$F23=1),$BS$3/$G23,0),0)</f>
        <v>0</v>
      </c>
      <c r="BI19" t="s">
        <v>1006</v>
      </c>
    </row>
    <row r="20" spans="1:61" ht="13.2">
      <c r="A20" s="260"/>
      <c r="B20" s="153">
        <f ca="1">IF(SUM(C20:G20)+I20=6,1,0)</f>
        <v>0</v>
      </c>
      <c r="C20" s="88">
        <f ca="1">IF(KLEJENIE!E23=1,1,IF(AND(C19&gt;267,C19&lt;2251),1,0))</f>
        <v>0</v>
      </c>
      <c r="D20" s="88">
        <f>IF((D19&gt;=50)*AND(D19&lt;1001),1,0)</f>
        <v>0</v>
      </c>
      <c r="E20" s="88">
        <f>IF((E19&gt;49)*AND(E19&lt;1401),1,0)</f>
        <v>0</v>
      </c>
      <c r="F20" s="88">
        <f ca="1">IF((F19&gt;599)*AND(F19&lt;2856),1,0)</f>
        <v>0</v>
      </c>
      <c r="G20" s="88" cm="1">
        <f t="array" aca="1" ref="G20" ca="1">IF(AND(G19&gt;399, IF(C23=1, G19&lt;1581, INDIRECT("'"&amp;Kalk!B12&amp;"'!L3")=1)),1,0)</f>
        <v>0</v>
      </c>
      <c r="H20" s="154">
        <f>Kalk!M19</f>
        <v>0</v>
      </c>
      <c r="I20" s="154">
        <f ca="1">IF(E19+((G19-E19)/2)&lt;1590,1,0)</f>
        <v>1</v>
      </c>
      <c r="J20" s="88">
        <f ca="1">IF(KLEJENIE!E$23=1,Kalk!AH13*2,Kalk!AH13)</f>
        <v>0</v>
      </c>
      <c r="K20" s="150">
        <f ca="1">IF(AND($C23=1,$J20&gt;0),IF($H20=100, SUM(AJ23:AU23)+($BT$2*$B23), SUM(AJ23:AU23)),IF(AND($B20=1,$J20&gt;0),SUM(AJ23:AU23) + IF(AND($H23&gt;1,$F23=0), $H23*0.05-0.05, 0),0))</f>
        <v>0</v>
      </c>
      <c r="L20" s="150">
        <f ca="1">IF(AND($H20=0,$H23=0,$B23&lt;2,$J18&gt;999,$J18&lt;3000,$F23=0),$BJ$4,0)</f>
        <v>0</v>
      </c>
      <c r="M20" s="150">
        <f ca="1">IF(AND($H20=0,$H23=0,$B23&gt;1.999,$J18&gt;999,$J18&lt;3000,$F23=0),$BK$4,0)</f>
        <v>0</v>
      </c>
      <c r="N20" s="151">
        <f ca="1">IF(AND($H20=25,$H23&gt;0,$B23&lt;2,$J18&gt;999,$J18&lt;3000,$F23=0),$BL$4,0)</f>
        <v>0</v>
      </c>
      <c r="O20" s="151">
        <f ca="1">IF(AND($H20=50,$H23&gt;0,$B23&lt;2,$J18&gt;999,$J18&lt;3000,$F23=0),$BM$4,0)</f>
        <v>0</v>
      </c>
      <c r="P20" s="151">
        <f ca="1">IF(AND($H20=100,$H23&gt;0,$B23&lt;2,$J18&gt;999,$J18&lt;3000,$F23=0),$BM$4+($BT$2*$B23),0)</f>
        <v>0</v>
      </c>
      <c r="Q20" s="152">
        <f ca="1">IF(AND($H20=25,$H23&gt;0,$B23&gt;1.999,$J18&gt;999,$J18&lt;3000,$F23=0),$BN$4,0)</f>
        <v>0</v>
      </c>
      <c r="R20" s="152">
        <f ca="1">IF(AND($H20=50,$H23&gt;0,$B23&gt;1.999,$J18&gt;999,$J18&lt;3000,$F23=0),$BO$4,0)</f>
        <v>0</v>
      </c>
      <c r="S20" s="152">
        <f ca="1">IF(AND($H20=100,$H23&gt;0,$J18&gt;999,$J18&lt;3000,$B23&gt;1.999,$F23=0),$BO$4+($BT$2*$B23),0)</f>
        <v>0</v>
      </c>
      <c r="T20" s="165">
        <f ca="1">IF(AND($H20=0,$H23=0,$J18/$G23&lt;3000,$J18/$G23&gt;999,$F23=1),$BP$4/$G23,0)</f>
        <v>0</v>
      </c>
      <c r="U20" s="151">
        <f ca="1">IFERROR(IF(AND($H20&gt;0,$H23=1,$J18/$G23&lt;3000,$J18/$G23&gt;999,$F23=1),$BQ$4/$G23,0),0)</f>
        <v>0</v>
      </c>
      <c r="V20" s="152">
        <f ca="1">IFERROR(IF(AND($H20&gt;0,$H23=2,$J18/$G23&lt;3000,$J18/$G23&gt;999,$F23=1),$BR$4/$G23,0),0)</f>
        <v>0</v>
      </c>
      <c r="W20" s="172">
        <f ca="1">IFERROR(IF(AND($H20&gt;0,$H23=3,$J18/$G23&lt;3000,$J18/$G23&gt;999,$F23=1),$BS$4/$G23,0),0)</f>
        <v>0</v>
      </c>
      <c r="X20" s="150">
        <f ca="1">IF(AND($H20=0,$H23=0,$B23&lt;2,$J19&gt;999,$J19&lt;3000,$F23=0),$BJ$4,0)</f>
        <v>0</v>
      </c>
      <c r="Y20" s="150">
        <f ca="1">IF(AND($H20=0,$H23=0,$B23&gt;1.999,$J19&gt;999,$J19&lt;3000,$F23=0),$BK$4,0)</f>
        <v>0</v>
      </c>
      <c r="Z20" s="151">
        <f ca="1">IF(AND($H20=25,$H23&gt;0,$B23&lt;2,$J19&gt;999,$J19&lt;3000,$F23=0),$BL$4,0)</f>
        <v>0</v>
      </c>
      <c r="AA20" s="151">
        <f ca="1">IF(AND($H20=50,$H23&gt;0,$B23&lt;2,$J19&gt;999,$J19&lt;3000,$F23=0),$BM$4,0)</f>
        <v>0</v>
      </c>
      <c r="AB20" s="151">
        <f ca="1">IF(AND($H20=100,$H23&gt;0,$B23&lt;2,$J19&gt;999,$J19&lt;3000,$F23=0),$BM$4+($BT$2*$B23),0)</f>
        <v>0</v>
      </c>
      <c r="AC20" s="152">
        <f ca="1">IF(AND($H20=25,$H23&gt;0,$B23&gt;1.999,$J19&gt;999,$J19&lt;3000,$F23=0),$BN$4,0)</f>
        <v>0</v>
      </c>
      <c r="AD20" s="152">
        <f ca="1">IF(AND($H20=50,$H23&gt;0,$B23&gt;1.999,$J19&gt;999,$J19&lt;3000,$F23=0),$BO$4,0)</f>
        <v>0</v>
      </c>
      <c r="AE20" s="152">
        <f ca="1">IF(AND($H20=50,$H23&gt;0,$B23&lt;2,$J19&gt;999,$J19&lt;3000,$F23=0),$BM$4,0)</f>
        <v>0</v>
      </c>
      <c r="AF20" s="165">
        <f ca="1">IF(AND($H20=100,$H23&gt;0,$B23&lt;2,$J19&gt;999,$J19&lt;3000,$F23=0),$BM$4+($BT$2*$B23),0)</f>
        <v>0</v>
      </c>
      <c r="AG20" s="151">
        <f ca="1">IF(AND($H20=25,$H23&gt;0,$B23&gt;1.999,$J19&gt;999,$J19&lt;3000,$F23=0),$BN$4,0)</f>
        <v>0</v>
      </c>
      <c r="AH20" s="152">
        <f ca="1">IF(AND($H20=50,$H23&gt;0,$B23&gt;1.999,$J19&gt;999,$J19&lt;3000,$F23=0),$BO$4,0)</f>
        <v>0</v>
      </c>
      <c r="AI20" s="172">
        <f ca="1">IF(AND($H20&gt;0,$H23=3,$G23&lt;&gt;0,$J19/$G23&gt;999,$J19/$G23&lt;3000,$F23=1),$BS$4/$G23,0)</f>
        <v>0</v>
      </c>
      <c r="AJ20" s="150">
        <f ca="1">IF(AND($H20=0,$H23=0,$B23&lt;2,$J20&gt;999,$J20&lt;3000,$F23=0),$BJ$4,0)</f>
        <v>0</v>
      </c>
      <c r="AK20" s="150">
        <f ca="1">IF(AND($H20=0,$H23=0,$B23&gt;1.999,$J20&gt;999,$J20&lt;3000,$F23=0),$BK$4,0)</f>
        <v>0</v>
      </c>
      <c r="AL20" s="151">
        <f ca="1">IF(AND($H20=25,$H23&gt;0,$B23&lt;2,$J20&gt;999,$J20&lt;3000,$F23=0),$BL$4,0)</f>
        <v>0</v>
      </c>
      <c r="AM20" s="151">
        <f ca="1">IF(AND($H20=50,$H23&gt;0,$B23&lt;2,$J20&gt;999,$J20&lt;3000,$F23=0),$BM$4,0)</f>
        <v>0</v>
      </c>
      <c r="AN20" s="151">
        <f ca="1">IF(AND($H20=100,$H23&gt;0,$B23&lt;2,$J20&gt;999,$J20&lt;3000,$F23=0),$BM$4+($BT$2*$B23),0)</f>
        <v>0</v>
      </c>
      <c r="AO20" s="152">
        <f ca="1">IF(AND($H20=25,$H23&gt;0,$B23&gt;1.999,$J20&gt;999,$J20&lt;3000,$F23=0),$BN$4,0)</f>
        <v>0</v>
      </c>
      <c r="AP20" s="152">
        <f ca="1">IF(AND($H20=50,$H23&gt;0,$B23&gt;1.999,$J20&gt;999,$J20&lt;3000,$F23=0),$BO$4,0)</f>
        <v>0</v>
      </c>
      <c r="AQ20" s="152">
        <f ca="1">IF(AND($H20=100,$H23&gt;0,$J20&gt;999,$J20&lt;3000,$B23&gt;1.999,$F23=0),$BO$4+($BT$2*$B23),0)</f>
        <v>0</v>
      </c>
      <c r="AR20" s="165">
        <f ca="1">IF(AND($H20=0,$H23=0,$G23&lt;&gt;0,$J20/$G23&lt;3000,$J20/$G23&gt;999,$F23=1),$BP$4/$G23,0)</f>
        <v>0</v>
      </c>
      <c r="AS20" s="151">
        <f ca="1">IF(AND($H20&gt;0,$H23=1,$G23&lt;&gt;0,$J20/$G23&lt;3000,$J20/$G23&gt;999,$F23=1),$BQ$4/$G23,0)</f>
        <v>0</v>
      </c>
      <c r="AT20" s="152">
        <f ca="1">IF(AND($H20&gt;0,$H23=2,$G23&lt;&gt;0,$J20/$G23&lt;3000,$J20/$G23&gt;999,$F23=1),$BR$4/$G23,0)</f>
        <v>0</v>
      </c>
      <c r="AU20" s="172">
        <f ca="1">IF(AND($H20&gt;0,$H23=3,$G23&lt;&gt;0,$J20/$G23&lt;3000,$J20/$G23&gt;999,$F23=1),$BS$4/$G23,0)</f>
        <v>0</v>
      </c>
      <c r="AV20" s="150">
        <f ca="1">IF(AND($H20=0,$H23=0,$B23&lt;2,$J21&gt;999,$J21&lt;3000,$F23=0),$BJ$4,0)</f>
        <v>0</v>
      </c>
      <c r="AW20" s="150">
        <f ca="1">IF(AND($H20=0,$H23=0,$B23&gt;1.999,$J21&gt;999,$J21&lt;3000,$F23=0),$BK$4,0)</f>
        <v>0</v>
      </c>
      <c r="AX20" s="151">
        <f ca="1">IF(AND($H20=25,$H23&gt;0,$B23&lt;2,$J21&gt;999,$J21&lt;3000,$F23=0),$BL$4,0)</f>
        <v>0</v>
      </c>
      <c r="AY20" s="151">
        <f ca="1">IF(AND($H20=50,$H23&gt;0,$B23&lt;2,$J21&gt;999,$J21&lt;3000,$F23=0),$BM$4,0)</f>
        <v>0</v>
      </c>
      <c r="AZ20" s="151">
        <f ca="1">IF(AND($H20=100,$H23&gt;0,$B23&lt;2,$J21&gt;999,$J21&lt;3000,$F23=0),$BM$4+($BT$2*$B23),0)</f>
        <v>0</v>
      </c>
      <c r="BA20" s="152">
        <f ca="1">IF(AND($H20=25,$H23&gt;0,$B23&gt;1.999,$J21&gt;999,$J21&lt;3000,$F23=0),$BN$4,0)</f>
        <v>0</v>
      </c>
      <c r="BB20" s="152">
        <f ca="1">IF(AND($H20=50,$H23&gt;0,$B23&gt;1.999,$J21&gt;999,$J21&lt;3000,$F23=0),$BO$4,0)</f>
        <v>0</v>
      </c>
      <c r="BC20" s="152">
        <f ca="1">IF(AND($H20=100,$H23&gt;0,$J21&gt;999,$J21&lt;3000,$B23&gt;1.999,$F23=0),$BO$4+($BT$2*$B23),0)</f>
        <v>0</v>
      </c>
      <c r="BD20" s="165">
        <f ca="1">IFERROR(IF(AND($H20=0,$H23=0,$G23&lt;&gt;0,$J21/$G23&lt;3000,$J21/$G23&gt;999,$F23=1),$BP$4/$G23,0),0)</f>
        <v>0</v>
      </c>
      <c r="BE20" s="151">
        <f ca="1">IFERROR(IF(AND($H20&gt;0,$H23=1,$G23&lt;&gt;0,$J21/$G23&lt;3000,$J21/$G23&gt;999,$F23=1),$BQ$4/$G23,0),0)</f>
        <v>0</v>
      </c>
      <c r="BF20" s="152">
        <f ca="1">IFERROR(IF(AND($H20&gt;0,$H23=2,$G23&lt;&gt;0,$J21/$G23&lt;3000,$J21/$G23&gt;999,$F23=1),$BR$4/$G23,0),0)</f>
        <v>0</v>
      </c>
      <c r="BG20" s="172">
        <f ca="1">IFERROR(IF(AND($H20&gt;0,$H23=3,$G23&lt;&gt;0,$J21/$G23&lt;3000,$J21/$G23&gt;999,$F23=1),$BS$4/$G23,0),0)</f>
        <v>0</v>
      </c>
      <c r="BI20" t="s">
        <v>1007</v>
      </c>
    </row>
    <row r="21" spans="1:61" ht="23.85" customHeight="1">
      <c r="A21" s="260"/>
      <c r="B21" s="275" t="s">
        <v>968</v>
      </c>
      <c r="C21" s="274" t="s">
        <v>986</v>
      </c>
      <c r="D21" s="268" t="s">
        <v>987</v>
      </c>
      <c r="E21" s="268"/>
      <c r="F21" s="275" t="s">
        <v>988</v>
      </c>
      <c r="G21" s="149" t="s">
        <v>989</v>
      </c>
      <c r="H21" s="269" t="s">
        <v>971</v>
      </c>
      <c r="I21" s="149"/>
      <c r="J21" s="88">
        <f ca="1">IF(KLEJENIE!E$23=1,Kalk!AH14*2,Kalk!AH14)</f>
        <v>0</v>
      </c>
      <c r="K21" s="150">
        <f ca="1">IF(AND($C23=1,$J21&gt;0),IF($H20=100, SUM(AV23:BG23)+($BT$2*$B23), SUM(AV23:BG23)),IF(AND($B20=1,$J21&gt;0),SUM(AV23:BG23) + IF(AND($H23&gt;1,$F23=0), $H23*0.05-0.05, 0),0))</f>
        <v>0</v>
      </c>
      <c r="L21" s="150">
        <f ca="1">IF(AND($H20=0,$H23=0,$B23&lt;2,$J18&gt;2999,$F23=0),$BJ$5,0)</f>
        <v>0</v>
      </c>
      <c r="M21" s="150">
        <f ca="1">IF(AND($H20=0,$H23=0,$B23&gt;1.999,$J18&gt;2999,$F23=0),$BK$5,0)</f>
        <v>0</v>
      </c>
      <c r="N21" s="151">
        <f ca="1">IF(AND($H20=25,$H23&gt;0,$B23&lt;2,$J18&gt;2999,$F23=0),$BL$5,0)</f>
        <v>0</v>
      </c>
      <c r="O21" s="151">
        <f ca="1">IF(AND($H20=50,$H23&gt;0,$B23&lt;2,$J18&gt;2999,$F23=0),$BM$5,0)</f>
        <v>0</v>
      </c>
      <c r="P21" s="151">
        <f ca="1">IF(AND($H20=100,$H23&gt;0,$J18&gt;2999,$B23&lt;2,$F23=0),$BM$5+($BT$2*$B23),0)</f>
        <v>0</v>
      </c>
      <c r="Q21" s="152">
        <f ca="1">IF(AND($H20=25,$H23&gt;0,$B23&gt;1.999,$J18&gt;2999,$F23=0),$BN$5,0)</f>
        <v>0</v>
      </c>
      <c r="R21" s="152">
        <f ca="1">IF(AND($H20=50,$H23&gt;0,$B23&gt;1.999,$J18&gt;2999,$F23=0),$BO$5,0)</f>
        <v>0</v>
      </c>
      <c r="S21" s="152">
        <f ca="1">IF(AND($H20=100,$H23&gt;0,$J18&gt;2999,$B23&gt;1.999,$F23=0),$BO$5+($BT$2*$B23),0)</f>
        <v>0</v>
      </c>
      <c r="T21" s="165">
        <f ca="1">IF(AND($H20=0,$H23=0,$J18/$G23&gt;2999,$F23=1),$BP$5/$G23,0)</f>
        <v>0</v>
      </c>
      <c r="U21" s="151">
        <f ca="1">IFERROR(IF(AND($H20&gt;0,$H23=1,$J18/$G23&gt;2999,$F23=1),$BQ$5/$G23,0),0)</f>
        <v>0</v>
      </c>
      <c r="V21" s="152">
        <f ca="1">IFERROR(IF(AND($H20&gt;0,$H23=2,$J18/$G23&gt;2999,$F23=1),$BR$5/$G23,0),0)</f>
        <v>0</v>
      </c>
      <c r="W21" s="172">
        <f ca="1">IFERROR(IF(AND($H20&gt;0,$H23=3,$J18/$G23&gt;2999,$F23=1),$BS$5/$G23,0),0)</f>
        <v>0</v>
      </c>
      <c r="X21" s="150">
        <f ca="1">IF(AND($H20=0,$H23=0,$B23&lt;2,$J19&gt;2999,$F23=0),$BJ$5,0)</f>
        <v>0</v>
      </c>
      <c r="Y21" s="150">
        <f ca="1">IF(AND($H20=0,$H23=0,$B23&gt;1.999,$J19&gt;2999,$F23=0),$BK$5,0)</f>
        <v>0</v>
      </c>
      <c r="Z21" s="151">
        <f ca="1">IF(AND($H20=25,$H23&gt;0,$B23&lt;2,$J19&gt;2999,$F23=0),$BL$5,0)</f>
        <v>0</v>
      </c>
      <c r="AA21" s="151">
        <f ca="1">IF(AND($H20=50,$H23&gt;0,$B23&lt;2,$J19&gt;2999,$F23=0),$BM$5,0)</f>
        <v>0</v>
      </c>
      <c r="AB21" s="151">
        <f ca="1">IF(AND($H20=100,$H23&gt;0,$J19&gt;2999,$B23&lt;2,$F23=0),$BM$5+($BT$2*$B23),0)</f>
        <v>0</v>
      </c>
      <c r="AC21" s="152">
        <f ca="1">IF(AND($H20=25,$H23&gt;0,$B23&gt;1.999,$J19&gt;2999,$F23=0),$BN$5,0)</f>
        <v>0</v>
      </c>
      <c r="AD21" s="152">
        <f ca="1">IF(AND($H20=50,$H23&gt;0,$B23&gt;1.999,$J19&gt;2999,$F23=0),$BO$5,0)</f>
        <v>0</v>
      </c>
      <c r="AE21" s="152">
        <f ca="1">IF(AND($H20=50,$H23&gt;0,$B23&lt;2,$J19&gt;2999,$F23=0),$BM$5,0)</f>
        <v>0</v>
      </c>
      <c r="AF21" s="165">
        <f ca="1">IF(AND($H20=100,$H23&gt;0,$J19&gt;2999,$B23&lt;2,$F23=0),$BM$5+($BT$2*$B23),0)</f>
        <v>0</v>
      </c>
      <c r="AG21" s="151">
        <f ca="1">IF(AND($H20=25,$H23&gt;0,$B23&gt;1.999,$J19&gt;2999,$F23=0),$BN$5,0)</f>
        <v>0</v>
      </c>
      <c r="AH21" s="152">
        <f ca="1">IF(AND($H20=50,$H23&gt;0,$B23&gt;1.999,$J19&gt;2999,$F23=0),$BO$5,0)</f>
        <v>0</v>
      </c>
      <c r="AI21" s="172">
        <f ca="1">IF(AND($H20&gt;0,$H23=3,$G23&lt;&gt;0,$J19/$G23&gt;2999,$F23=1),$BS$5/$G23,0)</f>
        <v>0</v>
      </c>
      <c r="AJ21" s="150">
        <f ca="1">IF(AND($H20=0,$H23=0,$B23&lt;2,$J20&gt;2999,$F23=0),$BJ$5,0)</f>
        <v>0</v>
      </c>
      <c r="AK21" s="150">
        <f ca="1">IF(AND($H20=0,$H23=0,$B23&gt;1.999,$J20&gt;2999,$F23=0),$BK$5,0)</f>
        <v>0</v>
      </c>
      <c r="AL21" s="151">
        <f ca="1">IF(AND($H20=25,$H23&gt;0,$B23&lt;2,$J20&gt;2999,$F23=0),$BL$5,0)</f>
        <v>0</v>
      </c>
      <c r="AM21" s="151">
        <f ca="1">IF(AND($H20=50,$H23&gt;0,$B23&lt;2,$J20&gt;2999,$F23=0),$BM$5,0)</f>
        <v>0</v>
      </c>
      <c r="AN21" s="151">
        <f ca="1">IF(AND($H20=100,$H23&gt;0,$J20&gt;2999,$B23&lt;2,$F23=0),$BM$5+($BT$2*$B23),0)</f>
        <v>0</v>
      </c>
      <c r="AO21" s="152">
        <f ca="1">IF(AND($H20=25,$H23&gt;0,$B23&gt;1.999,$J20&gt;2999,$F23=0),$BN$5,0)</f>
        <v>0</v>
      </c>
      <c r="AP21" s="152">
        <f ca="1">IF(AND($H20=50,$H23&gt;0,$B23&gt;1.999,$J20&gt;2999,$F23=0),$BO$5,0)</f>
        <v>0</v>
      </c>
      <c r="AQ21" s="152">
        <f ca="1">IF(AND($H20=100,$H23&gt;0,$J20&gt;2999,$B23&gt;1.999,$F23=0),$BO$5+($BT$2*$B23),0)</f>
        <v>0</v>
      </c>
      <c r="AR21" s="165">
        <f ca="1">IF(AND($H20=0,$H23=0,$G23&lt;&gt;0,$J20/$G23&gt;2999,$F23=1),$BP$5/$G23,0)</f>
        <v>0</v>
      </c>
      <c r="AS21" s="151">
        <f ca="1">IF(AND($H20&gt;0,$H23=1,$G23&lt;&gt;0,$J20/$G23&gt;2999,$F23=1),$BQ$5/$G23,0)</f>
        <v>0</v>
      </c>
      <c r="AT21" s="152">
        <f ca="1">IF(AND($H20&gt;0,$H23=2,$G23&lt;&gt;0,$J20/$G23&gt;2999,$F23=1),$BR$5/$G23,0)</f>
        <v>0</v>
      </c>
      <c r="AU21" s="172">
        <f ca="1">IF(AND($H20&gt;0,$H23=3,$G23&lt;&gt;0,$J20/$G23&gt;2999,$F23=1),$BS$5/$G23,0)</f>
        <v>0</v>
      </c>
      <c r="AV21" s="150">
        <f ca="1">IF(AND($H20=0,$H23=0,$B23&lt;2,$J21&gt;2999,$F23=0),$BJ$5,0)</f>
        <v>0</v>
      </c>
      <c r="AW21" s="150">
        <f ca="1">IF(AND($H20=0,$H23=0,$B23&gt;1.999,$J21&gt;2999,$F23=0),$BK$5,0)</f>
        <v>0</v>
      </c>
      <c r="AX21" s="151">
        <f ca="1">IF(AND($H20=25,$H23&gt;0,$B23&lt;2,$J21&gt;2999,$F23=0),$BL$5,0)</f>
        <v>0</v>
      </c>
      <c r="AY21" s="151">
        <f ca="1">IF(AND($H20=50,$H23&gt;0,$B23&lt;2,$J21&gt;2999,$F23=0),$BM$5,0)</f>
        <v>0</v>
      </c>
      <c r="AZ21" s="151">
        <f ca="1">IF(AND($H20=100,$H23&gt;0,$B23&lt;2,$J21&gt;2999,$F23=0),$BM$5+($BT$2*$B23),0)</f>
        <v>0</v>
      </c>
      <c r="BA21" s="152">
        <f ca="1">IF(AND($H20=25,$H23&gt;0,$B23&gt;1.999,$J21&gt;2999,$F23=0),$BN$5,0)</f>
        <v>0</v>
      </c>
      <c r="BB21" s="152">
        <f ca="1">IF(AND($H20=50,$H23&gt;0,$B23&gt;1.999,$J21&gt;2999,$F23=0),$BO$5,0)</f>
        <v>0</v>
      </c>
      <c r="BC21" s="152">
        <f ca="1">IF(AND($H20=100,$H23&gt;0,$J21&gt;2999,$B23&gt;1.999,$F23=0),$BO$5+($BT$2*$B23),0)</f>
        <v>0</v>
      </c>
      <c r="BD21" s="165">
        <f ca="1">IFERROR(IF(AND($H20=0,$H23=0,$G23&lt;&gt;0,$J21/$G23&gt;2999,$F23=1),$BP$5/$G23,0),0)</f>
        <v>0</v>
      </c>
      <c r="BE21" s="151">
        <f ca="1">IFERROR(IF(AND($H20&gt;0,$H23=1,$G23&lt;&gt;0,$J21/$G23&gt;2999,$F23=1),$BQ$5/$G23,0),0)</f>
        <v>0</v>
      </c>
      <c r="BF21" s="152">
        <f ca="1">IFERROR(IF(AND($H20&gt;0,$H23=2,$G23&lt;&gt;0,$J21/$G23&gt;2999,$F23=1),$BR$5/$G23,0),0)</f>
        <v>0</v>
      </c>
      <c r="BG21" s="172">
        <f ca="1">IFERROR(IF(AND($H20&gt;0,$H23=3,$G23&lt;&gt;0,$J21/$G23&gt;2999,$F23=1),$BS$5/$G23,0),0)</f>
        <v>0</v>
      </c>
      <c r="BI21" t="s">
        <v>1008</v>
      </c>
    </row>
    <row r="22" spans="1:61" ht="13.35" customHeight="1">
      <c r="A22" s="260"/>
      <c r="B22" s="275"/>
      <c r="C22" s="274"/>
      <c r="D22" s="147"/>
      <c r="E22" s="147"/>
      <c r="F22" s="275"/>
      <c r="G22" s="178"/>
      <c r="H22" s="269"/>
      <c r="I22" s="178"/>
      <c r="J22" s="6"/>
      <c r="K22" s="157"/>
      <c r="L22" s="162"/>
      <c r="M22" s="162"/>
      <c r="N22" s="272" t="s">
        <v>975</v>
      </c>
      <c r="O22" s="272"/>
      <c r="P22" s="272"/>
      <c r="Q22" s="273" t="s">
        <v>976</v>
      </c>
      <c r="R22" s="273"/>
      <c r="S22" s="273"/>
      <c r="T22" s="271" t="s">
        <v>992</v>
      </c>
      <c r="U22" s="271"/>
      <c r="V22" s="271"/>
      <c r="W22" s="271"/>
      <c r="X22" s="162"/>
      <c r="Y22" s="162"/>
      <c r="Z22" s="272" t="s">
        <v>975</v>
      </c>
      <c r="AA22" s="272"/>
      <c r="AB22" s="272"/>
      <c r="AC22" s="273" t="s">
        <v>976</v>
      </c>
      <c r="AD22" s="273"/>
      <c r="AE22" s="273"/>
      <c r="AF22" s="271" t="s">
        <v>992</v>
      </c>
      <c r="AG22" s="271"/>
      <c r="AH22" s="271"/>
      <c r="AI22" s="271"/>
      <c r="AJ22" s="162"/>
      <c r="AK22" s="162"/>
      <c r="AL22" s="272" t="s">
        <v>975</v>
      </c>
      <c r="AM22" s="272"/>
      <c r="AN22" s="272"/>
      <c r="AO22" s="273" t="s">
        <v>976</v>
      </c>
      <c r="AP22" s="273"/>
      <c r="AQ22" s="273"/>
      <c r="AR22" s="271" t="s">
        <v>992</v>
      </c>
      <c r="AS22" s="271"/>
      <c r="AT22" s="271"/>
      <c r="AU22" s="271"/>
      <c r="AV22" s="162"/>
      <c r="AW22" s="162"/>
      <c r="AX22" s="272" t="s">
        <v>975</v>
      </c>
      <c r="AY22" s="272"/>
      <c r="AZ22" s="272"/>
      <c r="BA22" s="273" t="s">
        <v>976</v>
      </c>
      <c r="BB22" s="273"/>
      <c r="BC22" s="273"/>
      <c r="BD22" s="271" t="s">
        <v>992</v>
      </c>
      <c r="BE22" s="271"/>
      <c r="BF22" s="271"/>
      <c r="BG22" s="271"/>
      <c r="BI22" t="s">
        <v>1009</v>
      </c>
    </row>
    <row r="23" spans="1:61" ht="13.2">
      <c r="A23" s="260"/>
      <c r="B23" s="158">
        <f ca="1">IF(KLEJENIE!E23=1,Kalk!J19/2,Kalk!J19)</f>
        <v>3.7599999999999998E-4</v>
      </c>
      <c r="C23" s="153">
        <f ca="1">IF(SUM(D23:F23)=3,1,0)</f>
        <v>0</v>
      </c>
      <c r="D23" s="88">
        <f ca="1">IF((F19&gt;599)*AND(F19&lt;2851),1,0)</f>
        <v>0</v>
      </c>
      <c r="E23" s="88">
        <f ca="1">IF((G19&gt;399)*AND(G19&lt;1566),1,0)</f>
        <v>0</v>
      </c>
      <c r="F23" s="154">
        <f>IF(Kalk!B19="Die cut",1,0)</f>
        <v>0</v>
      </c>
      <c r="G23" s="154">
        <f>Kalk!J21*Kalk!J22</f>
        <v>1</v>
      </c>
      <c r="H23" s="154">
        <f>Kalk!W19</f>
        <v>0</v>
      </c>
      <c r="I23" s="154">
        <f>IF(OR(I22="F0200",I22="F0201",I22="F0202",I22="F0203",I22="F0201-F0203",I22="F0200-F0203",I22="F0501",I22="F0452"),1,0)</f>
        <v>0</v>
      </c>
      <c r="J23" s="160"/>
      <c r="K23" s="161"/>
      <c r="L23" s="88">
        <f t="shared" ref="L23:BG23" ca="1" si="2">SUM(L18:L22)</f>
        <v>0</v>
      </c>
      <c r="M23" s="88">
        <f t="shared" ca="1" si="2"/>
        <v>0</v>
      </c>
      <c r="N23" s="88">
        <f t="shared" ca="1" si="2"/>
        <v>0</v>
      </c>
      <c r="O23" s="88">
        <f t="shared" ca="1" si="2"/>
        <v>0</v>
      </c>
      <c r="P23" s="88">
        <f t="shared" ca="1" si="2"/>
        <v>0</v>
      </c>
      <c r="Q23" s="88">
        <f t="shared" ca="1" si="2"/>
        <v>0</v>
      </c>
      <c r="R23" s="88">
        <f t="shared" ca="1" si="2"/>
        <v>0</v>
      </c>
      <c r="S23" s="88">
        <f t="shared" ca="1" si="2"/>
        <v>0</v>
      </c>
      <c r="T23" s="88">
        <f t="shared" ca="1" si="2"/>
        <v>0</v>
      </c>
      <c r="U23" s="88">
        <f t="shared" ca="1" si="2"/>
        <v>0</v>
      </c>
      <c r="V23" s="88">
        <f t="shared" ca="1" si="2"/>
        <v>0</v>
      </c>
      <c r="W23" s="88">
        <f t="shared" ca="1" si="2"/>
        <v>0</v>
      </c>
      <c r="X23" s="88">
        <f t="shared" ca="1" si="2"/>
        <v>0</v>
      </c>
      <c r="Y23" s="88">
        <f t="shared" ca="1" si="2"/>
        <v>0</v>
      </c>
      <c r="Z23" s="88">
        <f t="shared" ca="1" si="2"/>
        <v>0</v>
      </c>
      <c r="AA23" s="88">
        <f t="shared" ca="1" si="2"/>
        <v>0</v>
      </c>
      <c r="AB23" s="88">
        <f t="shared" ca="1" si="2"/>
        <v>0</v>
      </c>
      <c r="AC23" s="88">
        <f t="shared" ca="1" si="2"/>
        <v>0</v>
      </c>
      <c r="AD23" s="88">
        <f t="shared" ca="1" si="2"/>
        <v>0</v>
      </c>
      <c r="AE23" s="88">
        <f t="shared" ca="1" si="2"/>
        <v>0</v>
      </c>
      <c r="AF23" s="88">
        <f t="shared" ca="1" si="2"/>
        <v>0</v>
      </c>
      <c r="AG23" s="88">
        <f t="shared" ca="1" si="2"/>
        <v>0</v>
      </c>
      <c r="AH23" s="88">
        <f t="shared" ca="1" si="2"/>
        <v>0</v>
      </c>
      <c r="AI23" s="88">
        <f t="shared" ca="1" si="2"/>
        <v>0</v>
      </c>
      <c r="AJ23" s="88">
        <f t="shared" ca="1" si="2"/>
        <v>0</v>
      </c>
      <c r="AK23" s="88">
        <f t="shared" ca="1" si="2"/>
        <v>0</v>
      </c>
      <c r="AL23" s="88">
        <f t="shared" ca="1" si="2"/>
        <v>0</v>
      </c>
      <c r="AM23" s="88">
        <f t="shared" ca="1" si="2"/>
        <v>0</v>
      </c>
      <c r="AN23" s="88">
        <f t="shared" ca="1" si="2"/>
        <v>0</v>
      </c>
      <c r="AO23" s="88">
        <f t="shared" ca="1" si="2"/>
        <v>0</v>
      </c>
      <c r="AP23" s="88">
        <f t="shared" ca="1" si="2"/>
        <v>0</v>
      </c>
      <c r="AQ23" s="88">
        <f t="shared" ca="1" si="2"/>
        <v>0</v>
      </c>
      <c r="AR23" s="88">
        <f t="shared" ca="1" si="2"/>
        <v>0</v>
      </c>
      <c r="AS23" s="88">
        <f t="shared" ca="1" si="2"/>
        <v>0</v>
      </c>
      <c r="AT23" s="88">
        <f t="shared" ca="1" si="2"/>
        <v>0</v>
      </c>
      <c r="AU23" s="88">
        <f t="shared" ca="1" si="2"/>
        <v>0</v>
      </c>
      <c r="AV23" s="88">
        <f t="shared" ca="1" si="2"/>
        <v>0</v>
      </c>
      <c r="AW23" s="88">
        <f t="shared" ca="1" si="2"/>
        <v>0</v>
      </c>
      <c r="AX23" s="88">
        <f t="shared" ca="1" si="2"/>
        <v>0</v>
      </c>
      <c r="AY23" s="88">
        <f t="shared" ca="1" si="2"/>
        <v>0</v>
      </c>
      <c r="AZ23" s="88">
        <f t="shared" ca="1" si="2"/>
        <v>0</v>
      </c>
      <c r="BA23" s="88">
        <f t="shared" ca="1" si="2"/>
        <v>0</v>
      </c>
      <c r="BB23" s="88">
        <f t="shared" ca="1" si="2"/>
        <v>0</v>
      </c>
      <c r="BC23" s="88">
        <f t="shared" ca="1" si="2"/>
        <v>0</v>
      </c>
      <c r="BD23" s="88">
        <f t="shared" ca="1" si="2"/>
        <v>0</v>
      </c>
      <c r="BE23" s="88">
        <f t="shared" ca="1" si="2"/>
        <v>0</v>
      </c>
      <c r="BF23" s="88">
        <f t="shared" ca="1" si="2"/>
        <v>0</v>
      </c>
      <c r="BG23" s="88">
        <f t="shared" ca="1" si="2"/>
        <v>0</v>
      </c>
      <c r="BI23" t="s">
        <v>1010</v>
      </c>
    </row>
    <row r="24" spans="1:61" ht="13.2">
      <c r="A24" s="260"/>
      <c r="B24" s="123"/>
      <c r="C24" s="123"/>
      <c r="D24" s="123"/>
      <c r="E24" s="159"/>
      <c r="F24" s="6"/>
      <c r="G24" s="6"/>
      <c r="H24" s="6"/>
      <c r="I24" s="6"/>
      <c r="J24" s="166"/>
      <c r="BI24" t="s">
        <v>1011</v>
      </c>
    </row>
    <row r="25" spans="1:61" ht="13.2">
      <c r="B25" s="167"/>
      <c r="C25" s="167"/>
      <c r="D25" s="167"/>
      <c r="E25" s="167"/>
      <c r="F25" s="167"/>
      <c r="G25" s="167"/>
      <c r="H25" s="167"/>
      <c r="I25" s="167"/>
      <c r="J25" s="88" t="s">
        <v>83</v>
      </c>
      <c r="K25" s="110" t="s">
        <v>956</v>
      </c>
      <c r="L25" s="110" t="s">
        <v>975</v>
      </c>
      <c r="M25" s="110" t="s">
        <v>976</v>
      </c>
      <c r="N25" s="116" t="s">
        <v>958</v>
      </c>
      <c r="O25" s="116" t="s">
        <v>959</v>
      </c>
      <c r="P25" s="116" t="s">
        <v>960</v>
      </c>
      <c r="Q25" s="146" t="s">
        <v>958</v>
      </c>
      <c r="R25" s="146" t="s">
        <v>959</v>
      </c>
      <c r="S25" s="146" t="s">
        <v>960</v>
      </c>
      <c r="T25" s="88" t="s">
        <v>977</v>
      </c>
      <c r="U25" s="108" t="s">
        <v>978</v>
      </c>
      <c r="V25" s="170" t="s">
        <v>979</v>
      </c>
      <c r="W25" s="171" t="s">
        <v>980</v>
      </c>
      <c r="X25" s="110" t="s">
        <v>975</v>
      </c>
      <c r="Y25" s="110" t="s">
        <v>976</v>
      </c>
      <c r="Z25" s="116" t="s">
        <v>958</v>
      </c>
      <c r="AA25" s="116" t="s">
        <v>959</v>
      </c>
      <c r="AB25" s="116" t="s">
        <v>960</v>
      </c>
      <c r="AC25" s="146" t="s">
        <v>958</v>
      </c>
      <c r="AD25" s="146" t="s">
        <v>959</v>
      </c>
      <c r="AE25" s="146" t="s">
        <v>960</v>
      </c>
      <c r="AF25" s="88" t="s">
        <v>977</v>
      </c>
      <c r="AG25" s="108" t="s">
        <v>978</v>
      </c>
      <c r="AH25" s="170" t="s">
        <v>979</v>
      </c>
      <c r="AI25" s="171" t="s">
        <v>980</v>
      </c>
      <c r="AJ25" s="110" t="s">
        <v>975</v>
      </c>
      <c r="AK25" s="110" t="s">
        <v>976</v>
      </c>
      <c r="AL25" s="116" t="s">
        <v>958</v>
      </c>
      <c r="AM25" s="116" t="s">
        <v>959</v>
      </c>
      <c r="AN25" s="116" t="s">
        <v>960</v>
      </c>
      <c r="AO25" s="146" t="s">
        <v>958</v>
      </c>
      <c r="AP25" s="146" t="s">
        <v>959</v>
      </c>
      <c r="AQ25" s="146" t="s">
        <v>960</v>
      </c>
      <c r="AR25" s="88" t="s">
        <v>977</v>
      </c>
      <c r="AS25" s="108" t="s">
        <v>978</v>
      </c>
      <c r="AT25" s="170" t="s">
        <v>979</v>
      </c>
      <c r="AU25" s="171" t="s">
        <v>980</v>
      </c>
      <c r="AV25" s="110" t="s">
        <v>975</v>
      </c>
      <c r="AW25" s="110" t="s">
        <v>976</v>
      </c>
      <c r="AX25" s="116" t="s">
        <v>958</v>
      </c>
      <c r="AY25" s="116" t="s">
        <v>959</v>
      </c>
      <c r="AZ25" s="116" t="s">
        <v>960</v>
      </c>
      <c r="BA25" s="146" t="s">
        <v>958</v>
      </c>
      <c r="BB25" s="146" t="s">
        <v>959</v>
      </c>
      <c r="BC25" s="146" t="s">
        <v>960</v>
      </c>
      <c r="BD25" s="88" t="s">
        <v>977</v>
      </c>
      <c r="BE25" s="108" t="s">
        <v>978</v>
      </c>
      <c r="BF25" s="170" t="s">
        <v>979</v>
      </c>
      <c r="BG25" s="171" t="s">
        <v>980</v>
      </c>
      <c r="BI25" t="s">
        <v>1012</v>
      </c>
    </row>
    <row r="26" spans="1:61" ht="12.9" customHeight="1">
      <c r="A26" s="260">
        <v>4</v>
      </c>
      <c r="B26" s="274" t="s">
        <v>982</v>
      </c>
      <c r="C26" s="147" t="s">
        <v>56</v>
      </c>
      <c r="D26" s="147" t="s">
        <v>57</v>
      </c>
      <c r="E26" s="147" t="s">
        <v>66</v>
      </c>
      <c r="F26" s="268" t="s">
        <v>963</v>
      </c>
      <c r="G26" s="268"/>
      <c r="H26" s="269" t="s">
        <v>965</v>
      </c>
      <c r="I26" s="269" t="s">
        <v>970</v>
      </c>
      <c r="J26" s="88">
        <f ca="1">IF(KLEJENIE!E$31=1,Kalk!AH15*2,Kalk!AH15)</f>
        <v>0</v>
      </c>
      <c r="K26" s="150">
        <f ca="1">IF(AND($C31=1,$J26&gt;0),IF($H28=100, SUM(L31:W31)+($BT$2*$B31), SUM(L31:W31)),IF(AND($B28=1,$J26&gt;0),SUM(L31:W31)+IF(AND($H31&gt;1,$F31=0), $H31*0.05-0.05, 0),0))</f>
        <v>0</v>
      </c>
      <c r="L26" s="150">
        <f ca="1">IF(AND($H28=0,$H31=0,$J26&lt;500,$J26&gt;0,$B31&lt;2,$F31=0),BJ26/$J26,0)</f>
        <v>0</v>
      </c>
      <c r="M26" s="150">
        <f ca="1">IF(AND($H28=0,$H31=0,$J26&lt;500,$J26&gt;0,$B31&gt;1.999,$F31=0),BK26/$J26,0)</f>
        <v>0</v>
      </c>
      <c r="N26" s="151">
        <f ca="1">IF(AND($H31&gt;0,$H28=25,$B31&lt;2,$J26&lt;500,$F31=0),BV29/$J26,0)</f>
        <v>0</v>
      </c>
      <c r="O26" s="151">
        <f ca="1">IF(AND($H31&gt;0,$H28=50,$B31&lt;2,$J26&gt;0,$J26&lt;500,$F31=0),150/$J26,0)</f>
        <v>0</v>
      </c>
      <c r="P26" s="151">
        <f ca="1">IF(AND($H31&gt;0,$H28=100,$J26&gt;0,$J26&lt;500,$B31&lt;2,$F31=0),(BV29/$J26)+($BT$2*$B31),0)</f>
        <v>0</v>
      </c>
      <c r="Q26" s="152">
        <f ca="1">IF(AND($H31&gt;0,$H28=25,$J26&gt;0,$J26&lt;500,$B31&gt;1.999,$F31=0),BV29/$J26,0)</f>
        <v>0</v>
      </c>
      <c r="R26" s="152">
        <f ca="1">IF(AND($H31&gt;0,$H28=50,$J26&lt;500,$B31&gt;1.999,$F31=0),150/$J26,0)</f>
        <v>0</v>
      </c>
      <c r="S26" s="152">
        <f ca="1">IF(AND($H31&gt;0,$H28=100,$J26&lt;500,$B31&gt;1.999,$F31=0),(BV29/$J26)+($BT$2*$B31),0)</f>
        <v>0</v>
      </c>
      <c r="T26" s="165">
        <f ca="1">IF(AND($H28=0,$H31=0,$J26/$G31&lt;500,$J26/$G31&gt;0,$F31=1),BP26/$J26,0)</f>
        <v>0</v>
      </c>
      <c r="U26" s="151">
        <f ca="1">IFERROR(IF(AND($H28&gt;0,$H31=1,$J26/$G31&lt;500,$J26/$G31&gt;0,$F31=1),BQ26/$J26,0),0)</f>
        <v>0</v>
      </c>
      <c r="V26" s="152">
        <f ca="1">IFERROR(IF(AND($H28&gt;0,$H31=2,$J26/$G31&lt;500,$J26/$G31&gt;0,$F31=1),BR26/$J26,0),0)</f>
        <v>0</v>
      </c>
      <c r="W26" s="172">
        <f ca="1">IFERROR(IF(AND($H28&gt;0,$H31=3,$J26/$G31&lt;500,$J26/$G31&gt;0,$F31=1),BS26/$J26,0),0)</f>
        <v>0</v>
      </c>
      <c r="X26" s="150">
        <f ca="1">IF(AND($H28=0,$H31=0,$J27&lt;500,$J27&gt;0,$B31&lt;2,$F31=0),BJ26/$J27,0)</f>
        <v>0</v>
      </c>
      <c r="Y26" s="150">
        <f ca="1">IF(AND($H28=0,$H31=0,$J27&lt;500,$J27&gt;0,$B31&gt;1.999,$F31=0),BK26/$J27,0)</f>
        <v>0</v>
      </c>
      <c r="Z26" s="151">
        <f ca="1">IF(AND($H31&gt;0,$H28=25,$B31&lt;2,$J27&lt;500,$F31=0),BV29/$J27,0)</f>
        <v>0</v>
      </c>
      <c r="AA26" s="151">
        <f ca="1">IF(AND($H31&gt;0,$H28=50,$B31&lt;2,$J27&lt;500,$F31=0),150/$J27,0)</f>
        <v>0</v>
      </c>
      <c r="AB26" s="151">
        <f ca="1">IF(AND($H31&gt;0,$H28=100,$J27&lt;500,$B31&lt;2,$F31=0),(BV29/$J27)+($BT$2*$B31),0)</f>
        <v>0</v>
      </c>
      <c r="AC26" s="152">
        <f ca="1">IF(AND($H31&gt;0,$H28=25,$J27&lt;500,$B31&gt;1.999,$F31=0),BV29/$J27,0)</f>
        <v>0</v>
      </c>
      <c r="AD26" s="152">
        <f ca="1">IF(AND($H31&gt;0,$H28=50,$J27&lt;500,$B31&gt;1.999,$F31=0),150/$J27,0)</f>
        <v>0</v>
      </c>
      <c r="AE26" s="152">
        <f ca="1">IF(AND($H31&gt;0,$H28=50,$B31&lt;2,$J27&gt;0,$J27&lt;500,$F31=0),150/$J27,0)</f>
        <v>0</v>
      </c>
      <c r="AF26" s="165">
        <f ca="1">IF(AND($H31&gt;0,$H28=100,$J27&gt;0,$J27&lt;500,$B31&lt;2,$F31=0),(BV29/$J27)+($BT$2*$B31),0)</f>
        <v>0</v>
      </c>
      <c r="AG26" s="151">
        <f ca="1">IF(AND($H31&gt;0,$H28=25,$J27&gt;0,$J27&lt;500,$B31&gt;1.999,$F31=0),BV29/$J27,0)</f>
        <v>0</v>
      </c>
      <c r="AH26" s="152">
        <f ca="1">IF(AND($H31&gt;0,$H28=50,$J27&gt;0,$J27&lt;500,$B31&gt;1.999,$F31=0),150/$J27,0)</f>
        <v>0</v>
      </c>
      <c r="AI26" s="172">
        <f ca="1">IF(AND($H28&gt;0,$H31=3,$G31&lt;&gt;0,$J27&gt;0,$J27/$G31&gt;0,$J27/$G31&lt;500,$F31=1),BS26/$J27,0)</f>
        <v>0</v>
      </c>
      <c r="AJ26" s="150">
        <f ca="1">IF(AND($H28=0,$H31=0,$J28&gt;0,$J28&lt;500,$B31&lt;2,$F31=0),BJ26/$J28,0)</f>
        <v>0</v>
      </c>
      <c r="AK26" s="150">
        <f ca="1">IF(AND($H28=0,$H31=0,$J28&gt;0,$J28&lt;500,$B31&gt;1.999,$F31=0),BK26/$J28,0)</f>
        <v>0</v>
      </c>
      <c r="AL26" s="151">
        <f ca="1">IF(AND($H31&gt;0,$H28=25,$B31&lt;2,$J28&gt;0,$J28&lt;500,$F31=0),BV29/$J28,0)</f>
        <v>0</v>
      </c>
      <c r="AM26" s="151">
        <f ca="1">IF(AND($H31&gt;0,$H28=50,$B31&lt;2,$J28&gt;0,$J28&lt;500,$F31=0),BV29/$J28,0)</f>
        <v>0</v>
      </c>
      <c r="AN26" s="151">
        <f ca="1">IF(AND($H31&gt;0,$H28=100,$J28&gt;0,$J28&lt;500,$B31&lt;2,$F31=0),(BV29/$J28)+($BT$2*$B31),0)</f>
        <v>0</v>
      </c>
      <c r="AO26" s="152">
        <f ca="1">IF(AND($H31&gt;0,$H28=25,$J28&gt;0,$J28&lt;500,$B31&gt;1.999,$F31=0),BV29/$J28,0)</f>
        <v>0</v>
      </c>
      <c r="AP26" s="152">
        <f ca="1">IF(AND($H31&gt;0,$H28=50,$J28&gt;0,$J28&lt;500,$B31&gt;1.999,$F31=0),150/$J28,0)</f>
        <v>0</v>
      </c>
      <c r="AQ26" s="152">
        <f ca="1">IF(AND($H31&gt;0,$H28=100,$J28&gt;0,$J28&lt;500,$B31&gt;1.999,$F31=0),(BV29/$J28)+($BT$2*$B31),0)</f>
        <v>0</v>
      </c>
      <c r="AR26" s="165">
        <f ca="1">IF(AND($H28=0,$H31=0,$G31&lt;&gt;0,$J28&gt;0,$J28/$G31&lt;500,$J28/$G31&gt;0,$F31=1),BP26/$J28,0)</f>
        <v>0</v>
      </c>
      <c r="AS26" s="151">
        <f ca="1">IF(AND($H28&gt;0,$H31=1,$G31&lt;&gt;0,$J28&gt;0,$J28/$G31&lt;500,$J28/$G31&gt;0,$F31=1),BQ26/$J28,0)</f>
        <v>0</v>
      </c>
      <c r="AT26" s="152">
        <f ca="1">IF(AND($H28&gt;0,$H31=2,$G31&lt;&gt;0,$J28&gt;0,$J28/$G31&lt;500,$J28/$G31&gt;0,$F31=1),BR26/$J28,0)</f>
        <v>0</v>
      </c>
      <c r="AU26" s="172">
        <f ca="1">IF(AND($H28&gt;0,$H31=3,$G31&lt;&gt;0,$J28&gt;0,$J28/$G31&lt;500,$J28/$G31&gt;0,$F31=1),BS26/$J28,0)</f>
        <v>0</v>
      </c>
      <c r="AV26" s="150">
        <f ca="1">IF(AND($H28=0,$H31=0,$J29&gt;0,$J29&lt;500,$B31&lt;2,$F31=0),BJ26/$J29,0)</f>
        <v>0</v>
      </c>
      <c r="AW26" s="150">
        <f ca="1">IF(AND($H28=0,$H31=0,$J29&gt;0,$J29&lt;500,$B31&gt;1.999,$F31=0),BK26/$J29,0)</f>
        <v>0</v>
      </c>
      <c r="AX26" s="151">
        <f ca="1">IF(AND($H31&gt;0,$H28=25,$B31&lt;2,$J29&gt;0,$J29&lt;500,$F31=0),BV29/$J29,0)</f>
        <v>0</v>
      </c>
      <c r="AY26" s="151">
        <f ca="1">IF(AND($H31&gt;0,$H28=50,$B31&lt;2,$J29&gt;0,$J29&lt;500,$F31=0),150/$J29,0)</f>
        <v>0</v>
      </c>
      <c r="AZ26" s="151">
        <f ca="1">IF(AND($H31&gt;0,$H28=100,$B31&lt;2,$J29&gt;0,$J29&lt;500,$F31=0),(BV29/$J29)+($BT$2*$B31),0)</f>
        <v>0</v>
      </c>
      <c r="BA26" s="152">
        <f ca="1">IF(AND($H31&gt;0,$H28=25,$J29&gt;0,$J29&lt;500,$B31&gt;1.999,$F31=0),BV29/$J29,0)</f>
        <v>0</v>
      </c>
      <c r="BB26" s="152">
        <f ca="1">IF(AND($H31&gt;0,$H28=50,$J29&gt;0,$J29&lt;500,$B31&gt;1.999,$F31=0),150/$J29,0)</f>
        <v>0</v>
      </c>
      <c r="BC26" s="152">
        <f ca="1">IF(AND($H31&gt;0,$H28=100,$J29&gt;0,$J29&lt;500,$B31&gt;1.999,$F31=0),(BV29/$J29)+($BT$2*$B31),0)</f>
        <v>0</v>
      </c>
      <c r="BD26" s="165">
        <f ca="1">IFERROR(IF(AND($H28=0,$H31=0,$G31&lt;&gt;0,$J29&gt;0,$J29/$G31&lt;500,$J29/$G31&gt;0,$F31=1),BP26/$J29,0),0)</f>
        <v>0</v>
      </c>
      <c r="BE26" s="151">
        <f ca="1">IFERROR(IF(AND($H28&gt;0,$H31=1,$G31&lt;&gt;0,$J29&gt;0,$J29/$G31&lt;500,$J29/$G31&gt;0,$F31=1),BQ26/$J29,0),0)</f>
        <v>0</v>
      </c>
      <c r="BF26" s="152">
        <f ca="1">IFERROR(IF(AND($H28&gt;0,$H31=2,$G31&lt;&gt;0,$J29&gt;0,$J29/$G31&lt;500,$J29/$G31&gt;0,$F31=1),BR26/$J29,0),0)</f>
        <v>0</v>
      </c>
      <c r="BG26" s="172">
        <f ca="1">IFERROR(IF(AND($H28&gt;0,$H31=3,$G31&lt;&gt;0,$J29&gt;0,$J29/$G31&lt;500,$J29/$G31&gt;0,$F31=1),BS26/$J29,0),0)</f>
        <v>0</v>
      </c>
      <c r="BI26" t="s">
        <v>1013</v>
      </c>
    </row>
    <row r="27" spans="1:61" ht="13.2">
      <c r="A27" s="260"/>
      <c r="B27" s="274"/>
      <c r="C27" s="174">
        <f>Kalk!C16</f>
        <v>0</v>
      </c>
      <c r="D27" s="174">
        <f>Kalk!E16</f>
        <v>0</v>
      </c>
      <c r="E27" s="147">
        <f>Kalk!G16</f>
        <v>0</v>
      </c>
      <c r="F27" s="147">
        <f ca="1">IF(KLEJENIE!E31=1,Kalk!H16,Kalk!I16)</f>
        <v>47</v>
      </c>
      <c r="G27" s="147">
        <f ca="1">Kalk!I18</f>
        <v>8</v>
      </c>
      <c r="H27" s="269"/>
      <c r="I27" s="269"/>
      <c r="J27" s="88">
        <f ca="1">IF(KLEJENIE!E$31=1,Kalk!AH16*2,Kalk!AH16)</f>
        <v>0</v>
      </c>
      <c r="K27" s="150">
        <f ca="1">IF(AND($C31=1,$J27&gt;0),IF($H28=100, SUM(X31:AI31)+($BT$2*$B31), SUM(X31:AI31)),IF(AND($B28=1,$J27&gt;0),SUM(X31:AI31) + IF(AND($H31&gt;1,$F31=0), $H31*0.05-0.05, 0),0))</f>
        <v>0</v>
      </c>
      <c r="L27" s="150">
        <f ca="1">IF(AND($H28=0,$H31=0,$B31&lt;2,$J26&gt;499,$J26&lt;1000,$F31=0),$BJ$3,0)</f>
        <v>0</v>
      </c>
      <c r="M27" s="150">
        <f ca="1">IF(AND($H28=0,$H31=0,$B31&gt;1.999,$J26&gt;499,$J26&lt;1000,$F31=0),$BK$3,0)</f>
        <v>0</v>
      </c>
      <c r="N27" s="151">
        <f ca="1">IF(AND($H28=25,$H31&gt;0,$B31&lt;2,$J26&gt;499,$J26&lt;1000,$F31=0),$BL$3,0)</f>
        <v>0</v>
      </c>
      <c r="O27" s="151">
        <f ca="1">IF(AND($H28=50,$H31&gt;0,$B31&lt;2,$J26&gt;499,$J26&lt;1000,$F31=0),$BM$3,0)</f>
        <v>0</v>
      </c>
      <c r="P27" s="151">
        <f ca="1">IF(AND($H28=100,$H31&gt;0,$J26&gt;499,$J26&lt;1000,$B31&lt;2,$F31=0),$BM$3+($BT$2*$B31),0)</f>
        <v>0</v>
      </c>
      <c r="Q27" s="152">
        <f ca="1">IF(AND($H28=25,$H31&gt;0,$B31&gt;1.999,$J26&gt;499,$J26&lt;1000,$F31=0),$BN$3,0)</f>
        <v>0</v>
      </c>
      <c r="R27" s="152">
        <f ca="1">IF(AND($H28=50,$H31&gt;0,$J26&gt;499,$J26&lt;1000,$B31&gt;1.999,$F31=0),$BO$3,0)</f>
        <v>0</v>
      </c>
      <c r="S27" s="152">
        <f ca="1">IF(AND($H28=100,$H31&gt;0,$J26&gt;499,$J26&lt;1000,$B31&gt;1.999,$F31=0),$BO$3+($BT$2*$B31),0)</f>
        <v>0</v>
      </c>
      <c r="T27" s="165">
        <f ca="1">IF(AND($H28=0,$H31=0,$J26/$G31&lt;1000,$J26/$G31&gt;499,$F31=1),$BP$3/$G31,0)</f>
        <v>0</v>
      </c>
      <c r="U27" s="151">
        <f ca="1">IFERROR(IF(AND($H28&gt;0,$H31=1,$J26/$G31&lt;1000,$J26/$G31&gt;499,$F31=1),$BQ$3/$G31,0),0)</f>
        <v>0</v>
      </c>
      <c r="V27" s="152">
        <f ca="1">IFERROR(IF(AND($H28&gt;0,$H31=2,$J26/$G31&lt;1000,$J26/$G31&gt;499,$F31=1),$BR$3/$G31,0),0)</f>
        <v>0</v>
      </c>
      <c r="W27" s="172">
        <f ca="1">IFERROR(IF(AND($H28&gt;0,$H31=3,$J26/$G31&lt;1000,$J26/$G31&gt;499,$F31=1),$BS$3/$G31,0),0)</f>
        <v>0</v>
      </c>
      <c r="X27" s="150">
        <f ca="1">IF(AND($H28=0,$H31=0,$B31&lt;2,$J27&gt;499,$J27&lt;1000,$F31=0),$BJ$3,0)</f>
        <v>0</v>
      </c>
      <c r="Y27" s="150">
        <f ca="1">IF(AND($H28=0,$H31=0,$B31&gt;1.999,$J27&gt;499,$J27&lt;1000,$F31=0),$BK$3,0)</f>
        <v>0</v>
      </c>
      <c r="Z27" s="151">
        <f ca="1">IF(AND($H28=25,$H31&gt;0,$B31&lt;2,$J27&gt;499,$J27&lt;1000,$F31=0),$BL$3,0)</f>
        <v>0</v>
      </c>
      <c r="AA27" s="151">
        <f ca="1">IF(AND($H28=50,$H31&gt;0,$B31&lt;2,$J27&gt;499,$J27&lt;1000,$F31=0),$BM$3,0)</f>
        <v>0</v>
      </c>
      <c r="AB27" s="151">
        <f ca="1">IF(AND($H28=100,$H31&gt;0,$J27&gt;499,$J27&lt;1000,$B31&lt;2,$F31=0),$BM$3+($BT$2*$B31),0)</f>
        <v>0</v>
      </c>
      <c r="AC27" s="152">
        <f ca="1">IF(AND($H28=25,$H31&gt;0,$B31&gt;1.999,$J27&gt;499,$J27&lt;1000,$F31=0),$BN$3,0)</f>
        <v>0</v>
      </c>
      <c r="AD27" s="152">
        <f ca="1">IF(AND($H28=50,$H31&gt;0,$J27&gt;499,$J27&lt;1000,$B31&gt;1.999,$F31=0),$BO$3,0)</f>
        <v>0</v>
      </c>
      <c r="AE27" s="152">
        <f ca="1">IF(AND($H28=50,$H31&gt;0,$B31&lt;2,$J27&gt;499,$J27&lt;1000,$F31=0),$BM$3,0)</f>
        <v>0</v>
      </c>
      <c r="AF27" s="165">
        <f ca="1">IF(AND($H28=100,$H31&gt;0,$J27&gt;499,$J27&lt;1000,$B31&lt;2,$F31=0),$BM$3+($BT$2*$B31),0)</f>
        <v>0</v>
      </c>
      <c r="AG27" s="151">
        <f ca="1">IF(AND($H28=25,$H31&gt;0,$B31&gt;1.999,$J27&gt;499,$J27&lt;1000,$F31=0),$BN$3,0)</f>
        <v>0</v>
      </c>
      <c r="AH27" s="152">
        <f ca="1">IF(AND($H28=50,$H31&gt;0,$J27&gt;499,$J27&lt;1000,$B31&gt;1.999,$F31=0),$BO$3,0)</f>
        <v>0</v>
      </c>
      <c r="AI27" s="172">
        <f ca="1">IF(AND($H28&gt;0,$H31=3,$G31&lt;&gt;0,$J27/$G31&gt;499,$J27/$G31&lt;1000,$F31=1),$BS$3/$G31,0)</f>
        <v>0</v>
      </c>
      <c r="AJ27" s="150">
        <f ca="1">IF(AND($H28=0,$H31=0,$B31&lt;2,$J28&gt;499,$J28&lt;1000,$F31=0),$BJ$3,0)</f>
        <v>0</v>
      </c>
      <c r="AK27" s="150">
        <f ca="1">IF(AND($H28=0,$H31=0,$B31&gt;1.999,$J28&gt;499,$J28&lt;1000,$F31=0),$BK$3,0)</f>
        <v>0</v>
      </c>
      <c r="AL27" s="151">
        <f ca="1">IF(AND($H28=25,$H31&gt;0,$B31&lt;2,$J28&gt;499,$J28&lt;1000,$F31=0),$BL$3,0)</f>
        <v>0</v>
      </c>
      <c r="AM27" s="151">
        <f ca="1">IF(AND($H28=50,$H31&gt;0,$B31&lt;2,$J28&gt;499,$J28&lt;1000,$F31=0),$BM$3,0)</f>
        <v>0</v>
      </c>
      <c r="AN27" s="151">
        <f ca="1">IF(AND($H28=100,$H31&gt;0,$J28&gt;499,$J28&lt;1000,$B31&lt;2,$F31=0),$BM$3+($BT$2*$B31),0)</f>
        <v>0</v>
      </c>
      <c r="AO27" s="152">
        <f ca="1">IF(AND($H28=25,$H31&gt;0,$B31&gt;1.999,$J28&gt;499,$J28&lt;1000,$F31=0),$BN$3,0)</f>
        <v>0</v>
      </c>
      <c r="AP27" s="152">
        <f ca="1">IF(AND($H28=50,$H31&gt;0,$J28&gt;499,$J28&lt;1000,$B31&gt;1.999,$F31=0),$BO$3,0)</f>
        <v>0</v>
      </c>
      <c r="AQ27" s="152">
        <f ca="1">IF(AND($H28=100,$H31&gt;0,$J28&gt;499,$J28&lt;1000,$B31&gt;1.999,$F31=0),$BO$3+($BT$2*$B31),0)</f>
        <v>0</v>
      </c>
      <c r="AR27" s="165">
        <f ca="1">IF(AND($H28=0,$H31=0,$G31&lt;&gt;0,$J28/$G31&lt;1000,$J28/$G31&gt;499,$F31=1),$BP$3/$G31,0)</f>
        <v>0</v>
      </c>
      <c r="AS27" s="151">
        <f ca="1">IF(AND($H28&gt;0,$H31=1,$G31&lt;&gt;0,$J28/$G31&lt;1000,$J28/$G31&gt;499,$F31=1),$BQ$3/$G31,0)</f>
        <v>0</v>
      </c>
      <c r="AT27" s="152">
        <f ca="1">IF(AND($H28&gt;0,$H31=2,$G31&lt;&gt;0,$J28/$G31&lt;1000,$J28/$G31&gt;499,$F31=1),$BR$3/$G31,0)</f>
        <v>0</v>
      </c>
      <c r="AU27" s="172">
        <f ca="1">IF(AND($H28&gt;0,$H31=3,$G31&lt;&gt;0,$J28/$G31&lt;1000,$J28/$G31&gt;499,$F31=1),$BS$3/$G31,0)</f>
        <v>0</v>
      </c>
      <c r="AV27" s="150">
        <f ca="1">IF(AND($H28=0,$H31=0,$B31&lt;2,$J29&gt;499,$J29&lt;1000,$F31=0),$BJ$3,0)</f>
        <v>0</v>
      </c>
      <c r="AW27" s="150">
        <f ca="1">IF(AND($H28=0,$H31=0,$B31&gt;1.999,$J29&gt;499,$J29&lt;1000,$F31=0),$BK$3,0)</f>
        <v>0</v>
      </c>
      <c r="AX27" s="151">
        <f ca="1">IF(AND($H28=25,$H31&gt;0,$B31&lt;2,$J29&gt;499,$J29&lt;1000,$F31=0),$BL$3,0)</f>
        <v>0</v>
      </c>
      <c r="AY27" s="151">
        <f ca="1">IF(AND($H28=50,$H31&gt;0,$B31&lt;2,$J29&gt;499,$J29&lt;1000,$F31=0),$BM$3,0)</f>
        <v>0</v>
      </c>
      <c r="AZ27" s="151">
        <f ca="1">IF(AND($H28=100,$H31&gt;0,$B31&lt;2,$J29&gt;499,$J29&lt;1000,$F31=0),$BM$3+($BT$2*$B31),0)</f>
        <v>0</v>
      </c>
      <c r="BA27" s="152">
        <f ca="1">IF(AND($H28=25,$H31&gt;0,$B31&gt;1.999,$J29&gt;499,$J29&lt;1000,$F31=0),$BN$3,0)</f>
        <v>0</v>
      </c>
      <c r="BB27" s="152">
        <f ca="1">IF(AND($H28=50,$H31&gt;0,$J29&gt;499,$J29&lt;1000,$B31&gt;1.999,$F31=0),$BO$3,0)</f>
        <v>0</v>
      </c>
      <c r="BC27" s="152">
        <f ca="1">IF(AND($H28=100,$H31&gt;0,$J29&gt;499,$J29&lt;1000,$B31&gt;1.999,$F31=0),$BO$3+($BT$2*$B31),0)</f>
        <v>0</v>
      </c>
      <c r="BD27" s="165">
        <f ca="1">IFERROR(IF(AND($H28=0,$H31=0,$G31&lt;&gt;0,$J29/$G31&lt;1000,$J29/$G31&gt;499,$F31=1),$BP$3/$G31,0),0)</f>
        <v>0</v>
      </c>
      <c r="BE27" s="151">
        <f ca="1">IFERROR(IF(AND($H28&gt;0,$H31=1,$G31&lt;&gt;0,$J29/$G31&lt;1000,$J29/$G31&gt;499,$F31=1),$BQ$3/$G31,0),0)</f>
        <v>0</v>
      </c>
      <c r="BF27" s="152">
        <f ca="1">IFERROR(IF(AND($H28&gt;0,$H31=2,$G31&lt;&gt;0,$J29/$G31&lt;1000,$J29/$G31&gt;499,$F31=1),$BR$3/$G31,0),0)</f>
        <v>0</v>
      </c>
      <c r="BG27" s="172">
        <f ca="1">IFERROR(IF(AND($H28&gt;0,$H31=3,$G31&lt;&gt;0,$J29/$G31&lt;1000,$J29/$G31&gt;499,$F31=1),$BS$3/$G31,0),0)</f>
        <v>0</v>
      </c>
      <c r="BI27" t="s">
        <v>1014</v>
      </c>
    </row>
    <row r="28" spans="1:61" ht="13.2">
      <c r="A28" s="260"/>
      <c r="B28" s="153">
        <f ca="1">IF(SUM(C28:G28)+I28=6,1,0)</f>
        <v>0</v>
      </c>
      <c r="C28" s="88">
        <f ca="1">IF(KLEJENIE!E31=1,1,IF(AND(C27&gt;267,C27&lt;2251),1,0))</f>
        <v>0</v>
      </c>
      <c r="D28" s="88">
        <f>IF((D27&gt;=50)*AND(D27&lt;1001),1,0)</f>
        <v>0</v>
      </c>
      <c r="E28" s="88">
        <f>IF((E27&gt;49)*AND(E27&lt;1401),1,0)</f>
        <v>0</v>
      </c>
      <c r="F28" s="88">
        <f ca="1">IF((F27&gt;599)*AND(F27&lt;2856),1,0)</f>
        <v>0</v>
      </c>
      <c r="G28" s="88" cm="1">
        <f t="array" aca="1" ref="G28" ca="1">IF(AND(G27&gt;399, IF(C31=1, G27&lt;1581, INDIRECT("'"&amp;Kalk!B16&amp;"'!L3")=1)),1,0)</f>
        <v>0</v>
      </c>
      <c r="H28" s="154">
        <f>Kalk!M27</f>
        <v>0</v>
      </c>
      <c r="I28" s="154">
        <f ca="1">IF(E27+((G27-E27)/2)&lt;1590,1,0)</f>
        <v>1</v>
      </c>
      <c r="J28" s="88">
        <f ca="1">IF(KLEJENIE!E$31=1,Kalk!AH17*2,Kalk!AH17)</f>
        <v>0</v>
      </c>
      <c r="K28" s="150">
        <f ca="1">IF(AND($C31=1,$J28&gt;0),IF($H28=100, SUM(AJ31:AU31)+($BT$2*$B31), SUM(AJ31:AU31)),IF(AND($B28=1,$J28&gt;0),SUM(AJ31:AU31) + IF(AND($H31&gt;1,$F31=0), $H31*0.05-0.05, 0),0))</f>
        <v>0</v>
      </c>
      <c r="L28" s="150">
        <f ca="1">IF(AND($H28=0,$H31=0,$B31&lt;2,$J26&gt;999,$J26&lt;3000,$F31=0),$BJ$4,0)</f>
        <v>0</v>
      </c>
      <c r="M28" s="150">
        <f ca="1">IF(AND($H28=0,$H31=0,$B31&gt;1.999,$J26&gt;999,$J26&lt;3000,$F31=0),$BK$4,0)</f>
        <v>0</v>
      </c>
      <c r="N28" s="151">
        <f ca="1">IF(AND($H28=25,$H31&gt;0,$B31&lt;2,$J26&gt;999,$J26&lt;3000,$F31=0),$BL$4,0)</f>
        <v>0</v>
      </c>
      <c r="O28" s="151">
        <f ca="1">IF(AND($H28=50,$H31&gt;0,$B31&lt;2,$J26&gt;999,$J26&lt;3000,$F31=0),$BM$4,0)</f>
        <v>0</v>
      </c>
      <c r="P28" s="151">
        <f ca="1">IF(AND($H28=100,$H31&gt;0,$B31&lt;2,$J26&gt;999,$J26&lt;3000,$F31=0),$BM$4+($BT$2*$B31),0)</f>
        <v>0</v>
      </c>
      <c r="Q28" s="152">
        <f ca="1">IF(AND($H28=25,$H31&gt;0,$B31&gt;1.999,$J26&gt;999,$J26&lt;3000,$F31=0),$BN$4,0)</f>
        <v>0</v>
      </c>
      <c r="R28" s="152">
        <f ca="1">IF(AND($H28=50,$H31&gt;0,$B31&gt;1.999,$J26&gt;999,$J26&lt;3000,$F31=0),$BO$4,0)</f>
        <v>0</v>
      </c>
      <c r="S28" s="152">
        <f ca="1">IF(AND($H28=100,$H31&gt;0,$J26&gt;999,$J26&lt;3000,$B31&gt;1.999,$F31=0),$BO$4+($BT$2*$B31),0)</f>
        <v>0</v>
      </c>
      <c r="T28" s="165">
        <f ca="1">IF(AND($H28=0,$H31=0,$J26/$G31&lt;3000,$J26/$G31&gt;999,$F31=1),$BP$4/$G31,0)</f>
        <v>0</v>
      </c>
      <c r="U28" s="151">
        <f ca="1">IFERROR(IF(AND($H28&gt;0,$H31=1,$J26/$G31&lt;3000,$J26/$G31&gt;999,$F31=1),$BQ$4/$G31,0),0)</f>
        <v>0</v>
      </c>
      <c r="V28" s="152">
        <f ca="1">IFERROR(IF(AND($H28&gt;0,$H31=2,$J26/$G31&lt;3000,$J26/$G31&gt;999,$F31=1),$BR$4/$G31,0),0)</f>
        <v>0</v>
      </c>
      <c r="W28" s="172">
        <f ca="1">IFERROR(IF(AND($H28&gt;0,$H31=3,$J26/$G31&lt;3000,$J26/$G31&gt;999,$F31=1),$BS$4/$G31,0),0)</f>
        <v>0</v>
      </c>
      <c r="X28" s="150">
        <f ca="1">IF(AND($H28=0,$H31=0,$B31&lt;2,$J27&gt;999,$J27&lt;3000,$F31=0),$BJ$4,0)</f>
        <v>0</v>
      </c>
      <c r="Y28" s="150">
        <f ca="1">IF(AND($H28=0,$H31=0,$B31&gt;1.999,$J27&gt;999,$J27&lt;3000,$F31=0),$BK$4,0)</f>
        <v>0</v>
      </c>
      <c r="Z28" s="151">
        <f ca="1">IF(AND($H28=25,$H31&gt;0,$B31&lt;2,$J27&gt;999,$J27&lt;3000,$F31=0),$BL$4,0)</f>
        <v>0</v>
      </c>
      <c r="AA28" s="151">
        <f ca="1">IF(AND($H28=50,$H31&gt;0,$B31&lt;2,$J27&gt;999,$J27&lt;3000,$F31=0),$BM$4,0)</f>
        <v>0</v>
      </c>
      <c r="AB28" s="151">
        <f ca="1">IF(AND($H28=100,$H31&gt;0,$B31&lt;2,$J27&gt;999,$J27&lt;3000,$F31=0),$BM$4+($BT$2*$B31),0)</f>
        <v>0</v>
      </c>
      <c r="AC28" s="152">
        <f ca="1">IF(AND($H28=25,$H31&gt;0,$B31&gt;1.999,$J27&gt;999,$J27&lt;3000,$F31=0),$BN$4,0)</f>
        <v>0</v>
      </c>
      <c r="AD28" s="152">
        <f ca="1">IF(AND($H28=50,$H31&gt;0,$B31&gt;1.999,$J27&gt;999,$J27&lt;3000,$F31=0),$BO$4,0)</f>
        <v>0</v>
      </c>
      <c r="AE28" s="152">
        <f ca="1">IF(AND($H28=50,$H31&gt;0,$B31&lt;2,$J27&gt;999,$J27&lt;3000,$F31=0),$BM$4,0)</f>
        <v>0</v>
      </c>
      <c r="AF28" s="165">
        <f ca="1">IF(AND($H28=100,$H31&gt;0,$B31&lt;2,$J27&gt;999,$J27&lt;3000,$F31=0),$BM$4+($BT$2*$B31),0)</f>
        <v>0</v>
      </c>
      <c r="AG28" s="151">
        <f ca="1">IF(AND($H28=25,$H31&gt;0,$B31&gt;1.999,$J27&gt;999,$J27&lt;3000,$F31=0),$BN$4,0)</f>
        <v>0</v>
      </c>
      <c r="AH28" s="152">
        <f ca="1">IF(AND($H28=50,$H31&gt;0,$B31&gt;1.999,$J27&gt;999,$J27&lt;3000,$F31=0),$BO$4,0)</f>
        <v>0</v>
      </c>
      <c r="AI28" s="172">
        <f ca="1">IF(AND($H28&gt;0,$H31=3,$G31&lt;&gt;0,$J27/$G31&gt;999,$J27/$G31&lt;3000,$F31=1),$BS$4/$G31,0)</f>
        <v>0</v>
      </c>
      <c r="AJ28" s="150">
        <f ca="1">IF(AND($H28=0,$H31=0,$B31&lt;2,$J28&gt;999,$J28&lt;3000,$F31=0),$BJ$4,0)</f>
        <v>0</v>
      </c>
      <c r="AK28" s="150">
        <f ca="1">IF(AND($H28=0,$H31=0,$B31&gt;1.999,$J28&gt;999,$J28&lt;3000,$F31=0),$BK$4,0)</f>
        <v>0</v>
      </c>
      <c r="AL28" s="151">
        <f ca="1">IF(AND($H28=25,$H31&gt;0,$B31&lt;2,$J28&gt;999,$J28&lt;3000,$F31=0),$BL$4,0)</f>
        <v>0</v>
      </c>
      <c r="AM28" s="151">
        <f ca="1">IF(AND($H28=50,$H31&gt;0,$B31&lt;2,$J28&gt;999,$J28&lt;3000,$F31=0),$BM$4,0)</f>
        <v>0</v>
      </c>
      <c r="AN28" s="151">
        <f ca="1">IF(AND($H28=100,$H31&gt;0,$B31&lt;2,$J28&gt;999,$J28&lt;3000,$F31=0),$BM$4+($BT$2*$B31),0)</f>
        <v>0</v>
      </c>
      <c r="AO28" s="152">
        <f ca="1">IF(AND($H28=25,$H31&gt;0,$B31&gt;1.999,$J28&gt;999,$J28&lt;3000,$F31=0),$BN$4,0)</f>
        <v>0</v>
      </c>
      <c r="AP28" s="152">
        <f ca="1">IF(AND($H28=50,$H31&gt;0,$B31&gt;1.999,$J28&gt;999,$J28&lt;3000,$F31=0),$BO$4,0)</f>
        <v>0</v>
      </c>
      <c r="AQ28" s="152">
        <f ca="1">IF(AND($H28=100,$H31&gt;0,$J28&gt;999,$J28&lt;3000,$B31&gt;1.999,$F31=0),$BO$4+($BT$2*$B31),0)</f>
        <v>0</v>
      </c>
      <c r="AR28" s="165">
        <f ca="1">IF(AND($H28=0,$H31=0,$G31&lt;&gt;0,$J28/$G31&lt;3000,$J28/$G31&gt;999,$F31=1),$BP$4/$G31,0)</f>
        <v>0</v>
      </c>
      <c r="AS28" s="151">
        <f ca="1">IF(AND($H28&gt;0,$H31=1,$G31&lt;&gt;0,$J28/$G31&lt;3000,$J28/$G31&gt;999,$F31=1),$BQ$4/$G31,0)</f>
        <v>0</v>
      </c>
      <c r="AT28" s="152">
        <f ca="1">IF(AND($H28&gt;0,$H31=2,$G31&lt;&gt;0,$J28/$G31&lt;3000,$J28/$G31&gt;999,$F31=1),$BR$4/$G31,0)</f>
        <v>0</v>
      </c>
      <c r="AU28" s="172">
        <f ca="1">IF(AND($H28&gt;0,$H31=3,$G31&lt;&gt;0,$J28/$G31&lt;3000,$J28/$G31&gt;999,$F31=1),$BS$4/$G31,0)</f>
        <v>0</v>
      </c>
      <c r="AV28" s="150">
        <f ca="1">IF(AND($H28=0,$H31=0,$B31&lt;2,$J29&gt;999,$J29&lt;3000,$F31=0),$BJ$4,0)</f>
        <v>0</v>
      </c>
      <c r="AW28" s="150">
        <f ca="1">IF(AND($H28=0,$H31=0,$B31&gt;1.999,$J29&gt;999,$J29&lt;3000,$F31=0),$BK$4,0)</f>
        <v>0</v>
      </c>
      <c r="AX28" s="151">
        <f ca="1">IF(AND($H28=25,$H31&gt;0,$B31&lt;2,$J29&gt;999,$J29&lt;3000,$F31=0),$BL$4,0)</f>
        <v>0</v>
      </c>
      <c r="AY28" s="151">
        <f ca="1">IF(AND($H28=50,$H31&gt;0,$B31&lt;2,$J29&gt;999,$J29&lt;3000,$F31=0),$BM$4,0)</f>
        <v>0</v>
      </c>
      <c r="AZ28" s="151">
        <f ca="1">IF(AND($H28=100,$H31&gt;0,$B31&lt;2,$J29&gt;999,$J29&lt;3000,$F31=0),$BM$4+($BT$2*$B31),0)</f>
        <v>0</v>
      </c>
      <c r="BA28" s="152">
        <f ca="1">IF(AND($H28=25,$H31&gt;0,$B31&gt;1.999,$J29&gt;999,$J29&lt;3000,$F31=0),$BN$4,0)</f>
        <v>0</v>
      </c>
      <c r="BB28" s="152">
        <f ca="1">IF(AND($H28=50,$H31&gt;0,$B31&gt;1.999,$J29&gt;999,$J29&lt;3000,$F31=0),$BO$4,0)</f>
        <v>0</v>
      </c>
      <c r="BC28" s="152">
        <f ca="1">IF(AND($H28=100,$H31&gt;0,$J29&gt;999,$J29&lt;3000,$B31&gt;1.999,$F31=0),$BO$4+($BT$2*$B31),0)</f>
        <v>0</v>
      </c>
      <c r="BD28" s="165">
        <f ca="1">IFERROR(IF(AND($H28=0,$H31=0,$G31&lt;&gt;0,$J29/$G31&lt;3000,$J29/$G31&gt;999,$F31=1),$BP$4/$G31,0),0)</f>
        <v>0</v>
      </c>
      <c r="BE28" s="151">
        <f ca="1">IFERROR(IF(AND($H28&gt;0,$H31=1,$G31&lt;&gt;0,$J29/$G31&lt;3000,$J29/$G31&gt;999,$F31=1),$BQ$4/$G31,0),0)</f>
        <v>0</v>
      </c>
      <c r="BF28" s="152">
        <f ca="1">IFERROR(IF(AND($H28&gt;0,$H31=2,$G31&lt;&gt;0,$J29/$G31&lt;3000,$J29/$G31&gt;999,$F31=1),$BR$4/$G31,0),0)</f>
        <v>0</v>
      </c>
      <c r="BG28" s="172">
        <f ca="1">IFERROR(IF(AND($H28&gt;0,$H31=3,$G31&lt;&gt;0,$J29/$G31&lt;3000,$J29/$G31&gt;999,$F31=1),$BS$4/$G31,0),0)</f>
        <v>0</v>
      </c>
      <c r="BI28" t="s">
        <v>1015</v>
      </c>
    </row>
    <row r="29" spans="1:61" ht="23.85" customHeight="1">
      <c r="A29" s="260"/>
      <c r="B29" s="275" t="s">
        <v>968</v>
      </c>
      <c r="C29" s="274" t="s">
        <v>986</v>
      </c>
      <c r="D29" s="268" t="s">
        <v>987</v>
      </c>
      <c r="E29" s="268"/>
      <c r="F29" s="275" t="s">
        <v>988</v>
      </c>
      <c r="G29" s="149" t="s">
        <v>989</v>
      </c>
      <c r="H29" s="269" t="s">
        <v>971</v>
      </c>
      <c r="I29" s="149"/>
      <c r="J29" s="88">
        <f ca="1">IF(KLEJENIE!E$31=1,Kalk!AH18*2,Kalk!AH18)</f>
        <v>0</v>
      </c>
      <c r="K29" s="150">
        <f ca="1">IF(AND($C31=1,$J29&gt;0),IF($H28=100, SUM(AV31:BG31)+($BT$2*$B31), SUM(AV31:BG31)),IF(AND($B28=1,$J29&gt;0),SUM(AV31:BG31) + IF(AND($H31&gt;1,$F31=0), $H31*0.05-0.05, 0),0))</f>
        <v>0</v>
      </c>
      <c r="L29" s="150">
        <f ca="1">IF(AND($H28=0,$H31=0,$B31&lt;2,$J26&gt;2999,$F31=0),$BJ$5,0)</f>
        <v>0</v>
      </c>
      <c r="M29" s="150">
        <f ca="1">IF(AND($H28=0,$H31=0,$B31&gt;1.999,$J26&gt;2999,$F31=0),$BK$5,0)</f>
        <v>0</v>
      </c>
      <c r="N29" s="151">
        <f ca="1">IF(AND($H28=25,$H31&gt;0,$B31&lt;2,$J26&gt;2999,$F31=0),$BL$5,0)</f>
        <v>0</v>
      </c>
      <c r="O29" s="151">
        <f ca="1">IF(AND($H28=50,$H31&gt;0,$B31&lt;2,$J26&gt;2999,$F31=0),$BM$5,0)</f>
        <v>0</v>
      </c>
      <c r="P29" s="151">
        <f ca="1">IF(AND($H28=100,$H31&gt;0,$J26&gt;2999,$B31&lt;2,$F31=0),$BM$5+($BT$2*$B31),0)</f>
        <v>0</v>
      </c>
      <c r="Q29" s="152">
        <f ca="1">IF(AND($H28=25,$H31&gt;0,$B31&gt;1.999,$J26&gt;2999,$F31=0),$BN$5,0)</f>
        <v>0</v>
      </c>
      <c r="R29" s="152">
        <f ca="1">IF(AND($H28=50,$H31&gt;0,$B31&gt;1.999,$J26&gt;2999,$F31=0),$BO$5,0)</f>
        <v>0</v>
      </c>
      <c r="S29" s="152">
        <f ca="1">IF(AND($H28=100,$H31&gt;0,$J26&gt;2999,$B31&gt;1.999,$F31=0),$BO$5+($BT$2*$B31),0)</f>
        <v>0</v>
      </c>
      <c r="T29" s="165">
        <f ca="1">IF(AND($H28=0,$H31=0,$J26/$G31&gt;2999,$F31=1),$BP$5/$G31,0)</f>
        <v>0</v>
      </c>
      <c r="U29" s="151">
        <f ca="1">IFERROR(IF(AND($H28&gt;0,$H31=1,$J26/$G31&gt;2999,$F31=1),$BQ$5/$G31,0),0)</f>
        <v>0</v>
      </c>
      <c r="V29" s="152">
        <f ca="1">IFERROR(IF(AND($H28&gt;0,$H31=2,$J26/$G31&gt;2999,$F31=1),$BR$5/$G31,0),0)</f>
        <v>0</v>
      </c>
      <c r="W29" s="172">
        <f ca="1">IFERROR(IF(AND($H28&gt;0,$H31=3,$J26/$G31&gt;2999,$F31=1),$BS$5/$G31,0),0)</f>
        <v>0</v>
      </c>
      <c r="X29" s="150">
        <f ca="1">IF(AND($H28=0,$H31=0,$B31&lt;2,$J27&gt;2999,$F31=0),$BJ$5,0)</f>
        <v>0</v>
      </c>
      <c r="Y29" s="150">
        <f ca="1">IF(AND($H28=0,$H31=0,$B31&gt;1.999,$J27&gt;2999,$F31=0),$BK$5,0)</f>
        <v>0</v>
      </c>
      <c r="Z29" s="151">
        <f ca="1">IF(AND($H28=25,$H31&gt;0,$B31&lt;2,$J27&gt;2999,$F31=0),$BL$5,0)</f>
        <v>0</v>
      </c>
      <c r="AA29" s="151">
        <f ca="1">IF(AND($H28=50,$H31&gt;0,$B31&lt;2,$J27&gt;2999,$F31=0),$BM$5,0)</f>
        <v>0</v>
      </c>
      <c r="AB29" s="151">
        <f ca="1">IF(AND($H28=100,$H31&gt;0,$J27&gt;2999,$B31&lt;2,$F31=0),$BM$5+($BT$2*$B31),0)</f>
        <v>0</v>
      </c>
      <c r="AC29" s="152">
        <f ca="1">IF(AND($H28=25,$H31&gt;0,$B31&gt;1.999,$J27&gt;2999,$F31=0),$BN$5,0)</f>
        <v>0</v>
      </c>
      <c r="AD29" s="152">
        <f ca="1">IF(AND($H28=50,$H31&gt;0,$B31&gt;1.999,$J27&gt;2999,$F31=0),$BO$5,0)</f>
        <v>0</v>
      </c>
      <c r="AE29" s="152">
        <f ca="1">IF(AND($H28=50,$H31&gt;0,$B31&lt;2,$J27&gt;2999,$F31=0),$BM$5,0)</f>
        <v>0</v>
      </c>
      <c r="AF29" s="165">
        <f ca="1">IF(AND($H28=100,$H31&gt;0,$J27&gt;2999,$B31&lt;2,$F31=0),$BM$5+($BT$2*$B31),0)</f>
        <v>0</v>
      </c>
      <c r="AG29" s="151">
        <f ca="1">IF(AND($H28=25,$H31&gt;0,$B31&gt;1.999,$J27&gt;2999,$F31=0),$BN$5,0)</f>
        <v>0</v>
      </c>
      <c r="AH29" s="152">
        <f ca="1">IF(AND($H28=50,$H31&gt;0,$B31&gt;1.999,$J27&gt;2999,$F31=0),$BO$5,0)</f>
        <v>0</v>
      </c>
      <c r="AI29" s="172">
        <f ca="1">IF(AND($H28&gt;0,$H31=3,$G31&lt;&gt;0,$J27/$G31&gt;2999,$F31=1),$BS$5/$G31,0)</f>
        <v>0</v>
      </c>
      <c r="AJ29" s="150">
        <f ca="1">IF(AND($H28=0,$H31=0,$B31&lt;2,$J28&gt;2999,$F31=0),$BJ$5,0)</f>
        <v>0</v>
      </c>
      <c r="AK29" s="150">
        <f ca="1">IF(AND($H28=0,$H31=0,$B31&gt;1.999,$J28&gt;2999,$F31=0),$BK$5,0)</f>
        <v>0</v>
      </c>
      <c r="AL29" s="151">
        <f ca="1">IF(AND($H28=25,$H31&gt;0,$B31&lt;2,$J28&gt;2999,$F31=0),$BL$5,0)</f>
        <v>0</v>
      </c>
      <c r="AM29" s="151">
        <f ca="1">IF(AND($H28=50,$H31&gt;0,$B31&lt;2,$J28&gt;2999,$F31=0),$BM$5,0)</f>
        <v>0</v>
      </c>
      <c r="AN29" s="151">
        <f ca="1">IF(AND($H28=100,$H31&gt;0,$J28&gt;2999,$B31&lt;2,$F31=0),$BM$5+($BT$2*$B31),0)</f>
        <v>0</v>
      </c>
      <c r="AO29" s="152">
        <f ca="1">IF(AND($H28=25,$H31&gt;0,$B31&gt;1.999,$J28&gt;2999,$F31=0),$BN$5,0)</f>
        <v>0</v>
      </c>
      <c r="AP29" s="152">
        <f ca="1">IF(AND($H28=50,$H31&gt;0,$B31&gt;1.999,$J28&gt;2999,$F31=0),$BO$5,0)</f>
        <v>0</v>
      </c>
      <c r="AQ29" s="152">
        <f ca="1">IF(AND($H28=100,$H31&gt;0,$J28&gt;2999,$B31&gt;1.999,$F31=0),$BO$5+($BT$2*$B31),0)</f>
        <v>0</v>
      </c>
      <c r="AR29" s="165">
        <f ca="1">IF(AND($H28=0,$H31=0,$G31&lt;&gt;0,$J28/$G31&gt;2999,$F31=1),$BP$5/$G31,0)</f>
        <v>0</v>
      </c>
      <c r="AS29" s="151">
        <f ca="1">IF(AND($H28&gt;0,$H31=1,$G31&lt;&gt;0,$J28/$G31&gt;2999,$F31=1),$BQ$5/$G31,0)</f>
        <v>0</v>
      </c>
      <c r="AT29" s="152">
        <f ca="1">IF(AND($H28&gt;0,$H31=2,$G31&lt;&gt;0,$J28/$G31&gt;2999,$F31=1),$BR$5/$G31,0)</f>
        <v>0</v>
      </c>
      <c r="AU29" s="172">
        <f ca="1">IF(AND($H28&gt;0,$H31=3,$G31&lt;&gt;0,$J28/$G31&gt;2999,$F31=1),$BS$5/$G31,0)</f>
        <v>0</v>
      </c>
      <c r="AV29" s="150">
        <f ca="1">IF(AND($H28=0,$H31=0,$B31&lt;2,$J29&gt;2999,$F31=0),$BJ$5,0)</f>
        <v>0</v>
      </c>
      <c r="AW29" s="150">
        <f ca="1">IF(AND($H28=0,$H31=0,$B31&gt;1.999,$J29&gt;2999,$F31=0),$BK$5,0)</f>
        <v>0</v>
      </c>
      <c r="AX29" s="151">
        <f ca="1">IF(AND($H28=25,$H31&gt;0,$B31&lt;2,$J29&gt;2999,$F31=0),$BL$5,0)</f>
        <v>0</v>
      </c>
      <c r="AY29" s="151">
        <f ca="1">IF(AND($H28=50,$H31&gt;0,$B31&lt;2,$J29&gt;2999,$F31=0),$BM$5,0)</f>
        <v>0</v>
      </c>
      <c r="AZ29" s="151">
        <f ca="1">IF(AND($H28=100,$H31&gt;0,$B31&lt;2,$J29&gt;2999,$F31=0),$BM$5+($BT$2*$B31),0)</f>
        <v>0</v>
      </c>
      <c r="BA29" s="152">
        <f ca="1">IF(AND($H28=25,$H31&gt;0,$B31&gt;1.999,$J29&gt;2999,$F31=0),$BN$5,0)</f>
        <v>0</v>
      </c>
      <c r="BB29" s="152">
        <f ca="1">IF(AND($H28=50,$H31&gt;0,$B31&gt;1.999,$J29&gt;2999,$F31=0),$BO$5,0)</f>
        <v>0</v>
      </c>
      <c r="BC29" s="152">
        <f ca="1">IF(AND($H28=100,$H31&gt;0,$J29&gt;2999,$B31&gt;1.999,$F31=0),$BO$5+($BT$2*$B31),0)</f>
        <v>0</v>
      </c>
      <c r="BD29" s="165">
        <f ca="1">IFERROR(IF(AND($H28=0,$H31=0,$G31&lt;&gt;0,$J29/$G31&gt;2999,$F31=1),$BP$5/$G31,0),0)</f>
        <v>0</v>
      </c>
      <c r="BE29" s="151">
        <f ca="1">IFERROR(IF(AND($H28&gt;0,$H31=1,$G31&lt;&gt;0,$J29/$G31&gt;2999,$F31=1),$BQ$5/$G31,0),0)</f>
        <v>0</v>
      </c>
      <c r="BF29" s="152">
        <f ca="1">IFERROR(IF(AND($H28&gt;0,$H31=2,$G31&lt;&gt;0,$J29/$G31&gt;2999,$F31=1),$BR$5/$G31,0),0)</f>
        <v>0</v>
      </c>
      <c r="BG29" s="172">
        <f ca="1">IFERROR(IF(AND($H28&gt;0,$H31=3,$G31&lt;&gt;0,$J29/$G31&gt;2999,$F31=1),$BS$5/$G31,0),0)</f>
        <v>0</v>
      </c>
      <c r="BI29" t="s">
        <v>1016</v>
      </c>
    </row>
    <row r="30" spans="1:61" ht="13.35" customHeight="1">
      <c r="A30" s="260"/>
      <c r="B30" s="275"/>
      <c r="C30" s="274"/>
      <c r="D30" s="147"/>
      <c r="E30" s="147"/>
      <c r="F30" s="275"/>
      <c r="G30" s="178"/>
      <c r="H30" s="269"/>
      <c r="I30" s="178"/>
      <c r="J30" s="6"/>
      <c r="K30" s="157"/>
      <c r="L30" s="162"/>
      <c r="M30" s="162"/>
      <c r="N30" s="272" t="s">
        <v>975</v>
      </c>
      <c r="O30" s="272"/>
      <c r="P30" s="272"/>
      <c r="Q30" s="273" t="s">
        <v>976</v>
      </c>
      <c r="R30" s="273"/>
      <c r="S30" s="273"/>
      <c r="T30" s="271" t="s">
        <v>992</v>
      </c>
      <c r="U30" s="271"/>
      <c r="V30" s="271"/>
      <c r="W30" s="271"/>
      <c r="X30" s="162"/>
      <c r="Y30" s="162"/>
      <c r="Z30" s="272" t="s">
        <v>975</v>
      </c>
      <c r="AA30" s="272"/>
      <c r="AB30" s="272"/>
      <c r="AC30" s="273" t="s">
        <v>976</v>
      </c>
      <c r="AD30" s="273"/>
      <c r="AE30" s="273"/>
      <c r="AF30" s="271" t="s">
        <v>992</v>
      </c>
      <c r="AG30" s="271"/>
      <c r="AH30" s="271"/>
      <c r="AI30" s="271"/>
      <c r="AJ30" s="162"/>
      <c r="AK30" s="162"/>
      <c r="AL30" s="272" t="s">
        <v>975</v>
      </c>
      <c r="AM30" s="272"/>
      <c r="AN30" s="272"/>
      <c r="AO30" s="273" t="s">
        <v>976</v>
      </c>
      <c r="AP30" s="273"/>
      <c r="AQ30" s="273"/>
      <c r="AR30" s="271" t="s">
        <v>992</v>
      </c>
      <c r="AS30" s="271"/>
      <c r="AT30" s="271"/>
      <c r="AU30" s="271"/>
      <c r="AV30" s="162"/>
      <c r="AW30" s="162"/>
      <c r="AX30" s="272" t="s">
        <v>975</v>
      </c>
      <c r="AY30" s="272"/>
      <c r="AZ30" s="272"/>
      <c r="BA30" s="273" t="s">
        <v>976</v>
      </c>
      <c r="BB30" s="273"/>
      <c r="BC30" s="273"/>
      <c r="BD30" s="271" t="s">
        <v>992</v>
      </c>
      <c r="BE30" s="271"/>
      <c r="BF30" s="271"/>
      <c r="BG30" s="271"/>
    </row>
    <row r="31" spans="1:61" ht="13.2">
      <c r="A31" s="260"/>
      <c r="B31" s="158">
        <f ca="1">IF(KLEJENIE!E31=1,Kalk!J27/2,Kalk!J27)</f>
        <v>3.7599999999999998E-4</v>
      </c>
      <c r="C31" s="153">
        <f ca="1">IF(SUM(D31:F31)=3,1,0)</f>
        <v>0</v>
      </c>
      <c r="D31" s="88">
        <f ca="1">IF((F27&gt;599)*AND(F27&lt;2851),1,0)</f>
        <v>0</v>
      </c>
      <c r="E31" s="88">
        <f ca="1">IF((G27&gt;399)*AND(G27&lt;1566),1,0)</f>
        <v>0</v>
      </c>
      <c r="F31" s="154">
        <f>IF(Kalk!B27="Die cut",1,0)</f>
        <v>0</v>
      </c>
      <c r="G31" s="154">
        <f>Kalk!J29*Kalk!J30</f>
        <v>1</v>
      </c>
      <c r="H31" s="154">
        <f>Kalk!W27</f>
        <v>0</v>
      </c>
      <c r="I31" s="154">
        <f>IF(OR(I30="F0200",I30="F0201",I30="F0202",I30="F0203",I30="F0201-F0203",I30="F0200-F0203",I30="F0501",I30="F0452"),1,0)</f>
        <v>0</v>
      </c>
      <c r="J31" s="160"/>
      <c r="K31" s="161"/>
      <c r="L31" s="88">
        <f t="shared" ref="L31:BG31" ca="1" si="3">SUM(L26:L30)</f>
        <v>0</v>
      </c>
      <c r="M31" s="88">
        <f t="shared" ca="1" si="3"/>
        <v>0</v>
      </c>
      <c r="N31" s="88">
        <f t="shared" ca="1" si="3"/>
        <v>0</v>
      </c>
      <c r="O31" s="88">
        <f t="shared" ca="1" si="3"/>
        <v>0</v>
      </c>
      <c r="P31" s="88">
        <f t="shared" ca="1" si="3"/>
        <v>0</v>
      </c>
      <c r="Q31" s="88">
        <f t="shared" ca="1" si="3"/>
        <v>0</v>
      </c>
      <c r="R31" s="88">
        <f t="shared" ca="1" si="3"/>
        <v>0</v>
      </c>
      <c r="S31" s="88">
        <f t="shared" ca="1" si="3"/>
        <v>0</v>
      </c>
      <c r="T31" s="88">
        <f t="shared" ca="1" si="3"/>
        <v>0</v>
      </c>
      <c r="U31" s="88">
        <f t="shared" ca="1" si="3"/>
        <v>0</v>
      </c>
      <c r="V31" s="88">
        <f t="shared" ca="1" si="3"/>
        <v>0</v>
      </c>
      <c r="W31" s="88">
        <f t="shared" ca="1" si="3"/>
        <v>0</v>
      </c>
      <c r="X31" s="88">
        <f t="shared" ca="1" si="3"/>
        <v>0</v>
      </c>
      <c r="Y31" s="88">
        <f t="shared" ca="1" si="3"/>
        <v>0</v>
      </c>
      <c r="Z31" s="88">
        <f t="shared" ca="1" si="3"/>
        <v>0</v>
      </c>
      <c r="AA31" s="88">
        <f t="shared" ca="1" si="3"/>
        <v>0</v>
      </c>
      <c r="AB31" s="88">
        <f t="shared" ca="1" si="3"/>
        <v>0</v>
      </c>
      <c r="AC31" s="88">
        <f t="shared" ca="1" si="3"/>
        <v>0</v>
      </c>
      <c r="AD31" s="88">
        <f t="shared" ca="1" si="3"/>
        <v>0</v>
      </c>
      <c r="AE31" s="88">
        <f t="shared" ca="1" si="3"/>
        <v>0</v>
      </c>
      <c r="AF31" s="88">
        <f t="shared" ca="1" si="3"/>
        <v>0</v>
      </c>
      <c r="AG31" s="88">
        <f t="shared" ca="1" si="3"/>
        <v>0</v>
      </c>
      <c r="AH31" s="88">
        <f t="shared" ca="1" si="3"/>
        <v>0</v>
      </c>
      <c r="AI31" s="88">
        <f t="shared" ca="1" si="3"/>
        <v>0</v>
      </c>
      <c r="AJ31" s="88">
        <f t="shared" ca="1" si="3"/>
        <v>0</v>
      </c>
      <c r="AK31" s="88">
        <f t="shared" ca="1" si="3"/>
        <v>0</v>
      </c>
      <c r="AL31" s="88">
        <f t="shared" ca="1" si="3"/>
        <v>0</v>
      </c>
      <c r="AM31" s="88">
        <f t="shared" ca="1" si="3"/>
        <v>0</v>
      </c>
      <c r="AN31" s="88">
        <f t="shared" ca="1" si="3"/>
        <v>0</v>
      </c>
      <c r="AO31" s="88">
        <f t="shared" ca="1" si="3"/>
        <v>0</v>
      </c>
      <c r="AP31" s="88">
        <f t="shared" ca="1" si="3"/>
        <v>0</v>
      </c>
      <c r="AQ31" s="88">
        <f t="shared" ca="1" si="3"/>
        <v>0</v>
      </c>
      <c r="AR31" s="88">
        <f t="shared" ca="1" si="3"/>
        <v>0</v>
      </c>
      <c r="AS31" s="88">
        <f t="shared" ca="1" si="3"/>
        <v>0</v>
      </c>
      <c r="AT31" s="88">
        <f t="shared" ca="1" si="3"/>
        <v>0</v>
      </c>
      <c r="AU31" s="88">
        <f t="shared" ca="1" si="3"/>
        <v>0</v>
      </c>
      <c r="AV31" s="88">
        <f t="shared" ca="1" si="3"/>
        <v>0</v>
      </c>
      <c r="AW31" s="88">
        <f t="shared" ca="1" si="3"/>
        <v>0</v>
      </c>
      <c r="AX31" s="88">
        <f t="shared" ca="1" si="3"/>
        <v>0</v>
      </c>
      <c r="AY31" s="88">
        <f t="shared" ca="1" si="3"/>
        <v>0</v>
      </c>
      <c r="AZ31" s="88">
        <f t="shared" ca="1" si="3"/>
        <v>0</v>
      </c>
      <c r="BA31" s="88">
        <f t="shared" ca="1" si="3"/>
        <v>0</v>
      </c>
      <c r="BB31" s="88">
        <f t="shared" ca="1" si="3"/>
        <v>0</v>
      </c>
      <c r="BC31" s="88">
        <f t="shared" ca="1" si="3"/>
        <v>0</v>
      </c>
      <c r="BD31" s="88">
        <f t="shared" ca="1" si="3"/>
        <v>0</v>
      </c>
      <c r="BE31" s="88">
        <f t="shared" ca="1" si="3"/>
        <v>0</v>
      </c>
      <c r="BF31" s="88">
        <f t="shared" ca="1" si="3"/>
        <v>0</v>
      </c>
      <c r="BG31" s="88">
        <f t="shared" ca="1" si="3"/>
        <v>0</v>
      </c>
      <c r="BI31" t="s">
        <v>1017</v>
      </c>
    </row>
    <row r="32" spans="1:61" ht="13.2">
      <c r="A32" s="260"/>
      <c r="B32" s="123"/>
      <c r="C32" s="123"/>
      <c r="D32" s="123"/>
      <c r="E32" s="159"/>
      <c r="F32" s="6"/>
      <c r="G32" s="6"/>
      <c r="H32" s="6"/>
      <c r="I32" s="6"/>
      <c r="J32" s="166"/>
      <c r="BI32" t="s">
        <v>1018</v>
      </c>
    </row>
    <row r="33" spans="1:61" ht="13.2">
      <c r="B33" s="167"/>
      <c r="C33" s="167"/>
      <c r="D33" s="167"/>
      <c r="E33" s="167"/>
      <c r="F33" s="167"/>
      <c r="G33" s="167"/>
      <c r="H33" s="167"/>
      <c r="I33" s="167"/>
      <c r="J33" s="88" t="s">
        <v>83</v>
      </c>
      <c r="K33" s="110" t="s">
        <v>956</v>
      </c>
      <c r="L33" s="110" t="s">
        <v>975</v>
      </c>
      <c r="M33" s="110" t="s">
        <v>976</v>
      </c>
      <c r="N33" s="116" t="s">
        <v>958</v>
      </c>
      <c r="O33" s="116" t="s">
        <v>959</v>
      </c>
      <c r="P33" s="116" t="s">
        <v>960</v>
      </c>
      <c r="Q33" s="146" t="s">
        <v>958</v>
      </c>
      <c r="R33" s="146" t="s">
        <v>959</v>
      </c>
      <c r="S33" s="146" t="s">
        <v>960</v>
      </c>
      <c r="T33" s="88" t="s">
        <v>977</v>
      </c>
      <c r="U33" s="108" t="s">
        <v>978</v>
      </c>
      <c r="V33" s="170" t="s">
        <v>979</v>
      </c>
      <c r="W33" s="171" t="s">
        <v>980</v>
      </c>
      <c r="X33" s="110" t="s">
        <v>975</v>
      </c>
      <c r="Y33" s="110" t="s">
        <v>976</v>
      </c>
      <c r="Z33" s="116" t="s">
        <v>958</v>
      </c>
      <c r="AA33" s="116" t="s">
        <v>959</v>
      </c>
      <c r="AB33" s="116" t="s">
        <v>960</v>
      </c>
      <c r="AC33" s="146" t="s">
        <v>958</v>
      </c>
      <c r="AD33" s="146" t="s">
        <v>959</v>
      </c>
      <c r="AE33" s="146" t="s">
        <v>960</v>
      </c>
      <c r="AF33" s="88" t="s">
        <v>977</v>
      </c>
      <c r="AG33" s="108" t="s">
        <v>978</v>
      </c>
      <c r="AH33" s="170" t="s">
        <v>979</v>
      </c>
      <c r="AI33" s="171" t="s">
        <v>980</v>
      </c>
      <c r="AJ33" s="110" t="s">
        <v>975</v>
      </c>
      <c r="AK33" s="110" t="s">
        <v>976</v>
      </c>
      <c r="AL33" s="116" t="s">
        <v>958</v>
      </c>
      <c r="AM33" s="116" t="s">
        <v>959</v>
      </c>
      <c r="AN33" s="116" t="s">
        <v>960</v>
      </c>
      <c r="AO33" s="146" t="s">
        <v>958</v>
      </c>
      <c r="AP33" s="146" t="s">
        <v>959</v>
      </c>
      <c r="AQ33" s="146" t="s">
        <v>960</v>
      </c>
      <c r="AR33" s="88" t="s">
        <v>977</v>
      </c>
      <c r="AS33" s="108" t="s">
        <v>978</v>
      </c>
      <c r="AT33" s="170" t="s">
        <v>979</v>
      </c>
      <c r="AU33" s="171" t="s">
        <v>980</v>
      </c>
      <c r="AV33" s="110" t="s">
        <v>975</v>
      </c>
      <c r="AW33" s="110" t="s">
        <v>976</v>
      </c>
      <c r="AX33" s="116" t="s">
        <v>958</v>
      </c>
      <c r="AY33" s="116" t="s">
        <v>959</v>
      </c>
      <c r="AZ33" s="116" t="s">
        <v>960</v>
      </c>
      <c r="BA33" s="146" t="s">
        <v>958</v>
      </c>
      <c r="BB33" s="146" t="s">
        <v>959</v>
      </c>
      <c r="BC33" s="146" t="s">
        <v>960</v>
      </c>
      <c r="BD33" s="88" t="s">
        <v>977</v>
      </c>
      <c r="BE33" s="108" t="s">
        <v>978</v>
      </c>
      <c r="BF33" s="170" t="s">
        <v>979</v>
      </c>
      <c r="BG33" s="171" t="s">
        <v>980</v>
      </c>
      <c r="BI33" t="s">
        <v>1019</v>
      </c>
    </row>
    <row r="34" spans="1:61" ht="12.9" customHeight="1">
      <c r="A34" s="260">
        <v>5</v>
      </c>
      <c r="B34" s="274" t="s">
        <v>982</v>
      </c>
      <c r="C34" s="147" t="s">
        <v>56</v>
      </c>
      <c r="D34" s="147" t="s">
        <v>57</v>
      </c>
      <c r="E34" s="147" t="s">
        <v>66</v>
      </c>
      <c r="F34" s="268" t="s">
        <v>963</v>
      </c>
      <c r="G34" s="268"/>
      <c r="H34" s="269" t="s">
        <v>965</v>
      </c>
      <c r="I34" s="269" t="s">
        <v>970</v>
      </c>
      <c r="J34" s="88">
        <f ca="1">IF(KLEJENIE!E$39=1,Kalk!AH19*2,Kalk!AH19)</f>
        <v>0</v>
      </c>
      <c r="K34" s="150">
        <f ca="1">IF(AND($C39=1,$J34&gt;0),IF($H36=100, SUM(L39:W39)+($BT$2*$B39), SUM(L39:W39)),IF(AND($B36=1,$J34&gt;0),SUM(L39:W39)+IF(AND($H39&gt;1,$F39=0), $H39*0.05-0.05, 0),0))</f>
        <v>0</v>
      </c>
      <c r="L34" s="150">
        <f ca="1">IF(AND($H36=0,$H39=0,$J34&lt;500,$J34&gt;0,$B39&lt;2,$F39=0),BJ34/$J34,0)</f>
        <v>0</v>
      </c>
      <c r="M34" s="150">
        <f ca="1">IF(AND($H36=0,$H39=0,$J34&lt;500,$J34&gt;0,$B39&gt;1.999,$F39=0),BK34/$J34,0)</f>
        <v>0</v>
      </c>
      <c r="N34" s="151">
        <f ca="1">IF(AND($H39&gt;0,$H36=25,$B39&lt;2,$J34&lt;500,$F39=0),BV37/$J34,0)</f>
        <v>0</v>
      </c>
      <c r="O34" s="151">
        <f ca="1">IF(AND($H39&gt;0,$H36=50,$B39&lt;2,$J34&gt;0,$J34&lt;500,$F39=0),150/$J34,0)</f>
        <v>0</v>
      </c>
      <c r="P34" s="151">
        <f ca="1">IF(AND($H39&gt;0,$H36=100,$J34&gt;0,$J34&lt;500,$B39&lt;2,$F39=0),(BV37/$J34)+($BT$2*$B39),0)</f>
        <v>0</v>
      </c>
      <c r="Q34" s="152">
        <f ca="1">IF(AND($H39&gt;0,$H36=25,$J34&gt;0,$J34&lt;500,$B39&gt;1.999,$F39=0),BV37/$J34,0)</f>
        <v>0</v>
      </c>
      <c r="R34" s="152">
        <f ca="1">IF(AND($H39&gt;0,$H36=50,$J34&lt;500,$B39&gt;1.999,$F39=0),150/$J34,0)</f>
        <v>0</v>
      </c>
      <c r="S34" s="152">
        <f ca="1">IF(AND($H39&gt;0,$H36=100,$J34&lt;500,$B39&gt;1.999,$F39=0),(BV37/$J34)+($BT$2*$B39),0)</f>
        <v>0</v>
      </c>
      <c r="T34" s="165">
        <f ca="1">IF(AND($H36=0,$H39=0,$J34/$G39&lt;500,$J34/$G39&gt;0,$F39=1),BP34/$J34,0)</f>
        <v>0</v>
      </c>
      <c r="U34" s="151">
        <f ca="1">IFERROR(IF(AND($H36&gt;0,$H39=1,$J34/$G39&lt;500,$J34/$G39&gt;0,$F39=1),BQ34/$J34,0),0)</f>
        <v>0</v>
      </c>
      <c r="V34" s="152">
        <f ca="1">IFERROR(IF(AND($H36&gt;0,$H39=2,$J34/$G39&lt;500,$J34/$G39&gt;0,$F39=1),BR34/$J34,0),0)</f>
        <v>0</v>
      </c>
      <c r="W34" s="172">
        <f ca="1">IFERROR(IF(AND($H36&gt;0,$H39=3,$J34/$G39&lt;500,$J34/$G39&gt;0,$F39=1),BS34/$J34,0),0)</f>
        <v>0</v>
      </c>
      <c r="X34" s="150">
        <f ca="1">IF(AND($H36=0,$H39=0,$J35&lt;500,$J35&gt;0,$B39&lt;2,$F39=0),BJ34/$J35,0)</f>
        <v>0</v>
      </c>
      <c r="Y34" s="150">
        <f ca="1">IF(AND($H36=0,$H39=0,$J35&lt;500,$J35&gt;0,$B39&gt;1.999,$F39=0),BK34/$J35,0)</f>
        <v>0</v>
      </c>
      <c r="Z34" s="151">
        <f ca="1">IF(AND($H39&gt;0,$H36=25,$B39&lt;2,$J35&lt;500,$F39=0),BV37/$J35,0)</f>
        <v>0</v>
      </c>
      <c r="AA34" s="151">
        <f ca="1">IF(AND($H39&gt;0,$H36=50,$B39&lt;2,$J35&lt;500,$F39=0),150/$J35,0)</f>
        <v>0</v>
      </c>
      <c r="AB34" s="151">
        <f ca="1">IF(AND($H39&gt;0,$H36=100,$J35&lt;500,$B39&lt;2,$F39=0),(BV37/$J35)+($BT$2*$B39),0)</f>
        <v>0</v>
      </c>
      <c r="AC34" s="152">
        <f ca="1">IF(AND($H39&gt;0,$H36=25,$J35&lt;500,$B39&gt;1.999,$F39=0),BV37/$J35,0)</f>
        <v>0</v>
      </c>
      <c r="AD34" s="152">
        <f ca="1">IF(AND($H39&gt;0,$H36=50,$J35&lt;500,$B39&gt;1.999,$F39=0),150/$J35,0)</f>
        <v>0</v>
      </c>
      <c r="AE34" s="152">
        <f ca="1">IF(AND($H39&gt;0,$H36=50,$B39&lt;2,$J35&gt;0,$J35&lt;500,$F39=0),150/$J35,0)</f>
        <v>0</v>
      </c>
      <c r="AF34" s="165">
        <f ca="1">IF(AND($H39&gt;0,$H36=100,$J35&gt;0,$J35&lt;500,$B39&lt;2,$F39=0),(BV37/$J35)+($BT$2*$B39),0)</f>
        <v>0</v>
      </c>
      <c r="AG34" s="151">
        <f ca="1">IF(AND($H39&gt;0,$H36=25,$J35&gt;0,$J35&lt;500,$B39&gt;1.999,$F39=0),BV37/$J35,0)</f>
        <v>0</v>
      </c>
      <c r="AH34" s="152">
        <f ca="1">IF(AND($H39&gt;0,$H36=50,$J35&gt;0,$J35&lt;500,$B39&gt;1.999,$F39=0),150/$J35,0)</f>
        <v>0</v>
      </c>
      <c r="AI34" s="172">
        <f ca="1">IF(AND($H36&gt;0,$H39=3,$G39&lt;&gt;0,$J35&gt;0,$J35/$G39&gt;0,$J35/$G39&lt;500,$F39=1),BS34/$J35,0)</f>
        <v>0</v>
      </c>
      <c r="AJ34" s="150">
        <f ca="1">IF(AND($H36=0,$H39=0,$J36&gt;0,$J36&lt;500,$B39&lt;2,$F39=0),BJ34/$J36,0)</f>
        <v>0</v>
      </c>
      <c r="AK34" s="150">
        <f ca="1">IF(AND($H36=0,$H39=0,$J36&gt;0,$J36&lt;500,$B39&gt;1.999,$F39=0),BK34/$J36,0)</f>
        <v>0</v>
      </c>
      <c r="AL34" s="151">
        <f ca="1">IF(AND($H39&gt;0,$H36=25,$B39&lt;2,$J36&gt;0,$J36&lt;500,$F39=0),BV37/$J36,0)</f>
        <v>0</v>
      </c>
      <c r="AM34" s="151">
        <f ca="1">IF(AND($H39&gt;0,$H36=50,$B39&lt;2,$J36&gt;0,$J36&lt;500,$F39=0),BV37/$J36,0)</f>
        <v>0</v>
      </c>
      <c r="AN34" s="151">
        <f ca="1">IF(AND($H39&gt;0,$H36=100,$J36&gt;0,$J36&lt;500,$B39&lt;2,$F39=0),(BV37/$J36)+($BT$2*$B39),0)</f>
        <v>0</v>
      </c>
      <c r="AO34" s="152">
        <f ca="1">IF(AND($H39&gt;0,$H36=25,$J36&gt;0,$J36&lt;500,$B39&gt;1.999,$F39=0),BV37/$J36,0)</f>
        <v>0</v>
      </c>
      <c r="AP34" s="152">
        <f ca="1">IF(AND($H39&gt;0,$H36=50,$J36&gt;0,$J36&lt;500,$B39&gt;1.999,$F39=0),150/$J36,0)</f>
        <v>0</v>
      </c>
      <c r="AQ34" s="152">
        <f ca="1">IF(AND($H39&gt;0,$H36=100,$J36&gt;0,$J36&lt;500,$B39&gt;1.999,$F39=0),(BV37/$J36)+($BT$2*$B39),0)</f>
        <v>0</v>
      </c>
      <c r="AR34" s="165">
        <f ca="1">IF(AND($H36=0,$H39=0,$G39&lt;&gt;0,$J36&gt;0,$J36/$G39&lt;500,$J36/$G39&gt;0,$F39=1),BP34/$J36,0)</f>
        <v>0</v>
      </c>
      <c r="AS34" s="151">
        <f ca="1">IF(AND($H36&gt;0,$H39=1,$G39&lt;&gt;0,$J36&gt;0,$J36/$G39&lt;500,$J36/$G39&gt;0,$F39=1),BQ34/$J36,0)</f>
        <v>0</v>
      </c>
      <c r="AT34" s="152">
        <f ca="1">IF(AND($H36&gt;0,$H39=2,$G39&lt;&gt;0,$J36&gt;0,$J36/$G39&lt;500,$J36/$G39&gt;0,$F39=1),BR34/$J36,0)</f>
        <v>0</v>
      </c>
      <c r="AU34" s="172">
        <f ca="1">IF(AND($H36&gt;0,$H39=3,$G39&lt;&gt;0,$J36&gt;0,$J36/$G39&lt;500,$J36/$G39&gt;0,$F39=1),BS34/$J36,0)</f>
        <v>0</v>
      </c>
      <c r="AV34" s="150">
        <f ca="1">IF(AND($H36=0,$H39=0,$J37&gt;0,$J37&lt;500,$B39&lt;2,$F39=0),BJ34/$J37,0)</f>
        <v>0</v>
      </c>
      <c r="AW34" s="150">
        <f ca="1">IF(AND($H36=0,$H39=0,$J37&gt;0,$J37&lt;500,$B39&gt;1.999,$F39=0),BK34/$J37,0)</f>
        <v>0</v>
      </c>
      <c r="AX34" s="151">
        <f ca="1">IF(AND($H39&gt;0,$H36=25,$B39&lt;2,$J37&gt;0,$J37&lt;500,$F39=0),BV37/$J37,0)</f>
        <v>0</v>
      </c>
      <c r="AY34" s="151">
        <f ca="1">IF(AND($H39&gt;0,$H36=50,$B39&lt;2,$J37&gt;0,$J37&lt;500,$F39=0),150/$J37,0)</f>
        <v>0</v>
      </c>
      <c r="AZ34" s="151">
        <f ca="1">IF(AND($H39&gt;0,$H36=100,$B39&lt;2,$J37&gt;0,$J37&lt;500,$F39=0),(BV37/$J37)+($BT$2*$B39),0)</f>
        <v>0</v>
      </c>
      <c r="BA34" s="152">
        <f ca="1">IF(AND($H39&gt;0,$H36=25,$J37&gt;0,$J37&lt;500,$B39&gt;1.999,$F39=0),BV37/$J37,0)</f>
        <v>0</v>
      </c>
      <c r="BB34" s="152">
        <f ca="1">IF(AND($H39&gt;0,$H36=50,$J37&gt;0,$J37&lt;500,$B39&gt;1.999,$F39=0),150/$J37,0)</f>
        <v>0</v>
      </c>
      <c r="BC34" s="152">
        <f ca="1">IF(AND($H39&gt;0,$H36=100,$J37&gt;0,$J37&lt;500,$B39&gt;1.999,$F39=0),(BV37/$J37)+($BT$2*$B39),0)</f>
        <v>0</v>
      </c>
      <c r="BD34" s="165">
        <f ca="1">IFERROR(IF(AND($H36=0,$H39=0,$G39&lt;&gt;0,$J37&gt;0,$J37/$G39&lt;500,$J37/$G39&gt;0,$F39=1),BP34/$J37,0),0)</f>
        <v>0</v>
      </c>
      <c r="BE34" s="151">
        <f ca="1">IFERROR(IF(AND($H36&gt;0,$H39=1,$G39&lt;&gt;0,$J37&gt;0,$J37/$G39&lt;500,$J37/$G39&gt;0,$F39=1),BQ34/$J37,0),0)</f>
        <v>0</v>
      </c>
      <c r="BF34" s="152">
        <f ca="1">IFERROR(IF(AND($H36&gt;0,$H39=2,$G39&lt;&gt;0,$J37&gt;0,$J37/$G39&lt;500,$J37/$G39&gt;0,$F39=1),BR34/$J37,0),0)</f>
        <v>0</v>
      </c>
      <c r="BG34" s="172">
        <f ca="1">IFERROR(IF(AND($H36&gt;0,$H39=3,$G39&lt;&gt;0,$J37&gt;0,$J37/$G39&lt;500,$J37/$G39&gt;0,$F39=1),BS34/$J37,0),0)</f>
        <v>0</v>
      </c>
      <c r="BI34" t="s">
        <v>1020</v>
      </c>
    </row>
    <row r="35" spans="1:61" ht="13.2">
      <c r="A35" s="260"/>
      <c r="B35" s="274"/>
      <c r="C35" s="174">
        <f>Kalk!C20</f>
        <v>0</v>
      </c>
      <c r="D35" s="174">
        <f>Kalk!E20</f>
        <v>0</v>
      </c>
      <c r="E35" s="147">
        <f>Kalk!G20</f>
        <v>0</v>
      </c>
      <c r="F35" s="147">
        <f ca="1">IF(KLEJENIE!E39=1,Kalk!H20,Kalk!I20)</f>
        <v>47</v>
      </c>
      <c r="G35" s="147">
        <f ca="1">Kalk!I22</f>
        <v>8</v>
      </c>
      <c r="H35" s="269"/>
      <c r="I35" s="269"/>
      <c r="J35" s="88">
        <f ca="1">IF(KLEJENIE!E$39=1,Kalk!AH20*2,Kalk!AH20)</f>
        <v>0</v>
      </c>
      <c r="K35" s="150">
        <f ca="1">IF(AND($C39=1,$J35&gt;0),IF($H36=100, SUM(X39:AI39)+($BT$2*$B39), SUM(X39:AI39)),IF(AND($B36=1,$J35&gt;0),SUM(X39:AI39) + IF(AND($H39&gt;1,$F39=0), $H39*0.05-0.05, 0),0))</f>
        <v>0</v>
      </c>
      <c r="L35" s="150">
        <f ca="1">IF(AND($H36=0,$H39=0,$B39&lt;2,$J34&gt;499,$J34&lt;1000,$F39=0),$BJ$3,0)</f>
        <v>0</v>
      </c>
      <c r="M35" s="150">
        <f ca="1">IF(AND($H36=0,$H39=0,$B39&gt;1.999,$J34&gt;499,$J34&lt;1000,$F39=0),$BK$3,0)</f>
        <v>0</v>
      </c>
      <c r="N35" s="151">
        <f ca="1">IF(AND($H36=25,$H39&gt;0,$B39&lt;2,$J34&gt;499,$J34&lt;1000,$F39=0),$BL$3,0)</f>
        <v>0</v>
      </c>
      <c r="O35" s="151">
        <f ca="1">IF(AND($H36=50,$H39&gt;0,$B39&lt;2,$J34&gt;499,$J34&lt;1000,$F39=0),$BM$3,0)</f>
        <v>0</v>
      </c>
      <c r="P35" s="151">
        <f ca="1">IF(AND($H36=100,$H39&gt;0,$J34&gt;499,$J34&lt;1000,$B39&lt;2,$F39=0),$BM$3+($BT$2*$B39),0)</f>
        <v>0</v>
      </c>
      <c r="Q35" s="152">
        <f ca="1">IF(AND($H36=25,$H39&gt;0,$B39&gt;1.999,$J34&gt;499,$J34&lt;1000,$F39=0),$BN$3,0)</f>
        <v>0</v>
      </c>
      <c r="R35" s="152">
        <f ca="1">IF(AND($H36=50,$H39&gt;0,$J34&gt;499,$J34&lt;1000,$B39&gt;1.999,$F39=0),$BO$3,0)</f>
        <v>0</v>
      </c>
      <c r="S35" s="152">
        <f ca="1">IF(AND($H36=100,$H39&gt;0,$J34&gt;499,$J34&lt;1000,$B39&gt;1.999,$F39=0),$BO$3+($BT$2*$B39),0)</f>
        <v>0</v>
      </c>
      <c r="T35" s="165">
        <f ca="1">IF(AND($H36=0,$H39=0,$J34/$G39&lt;1000,$J34/$G39&gt;499,$F39=1),$BP$3/$G39,0)</f>
        <v>0</v>
      </c>
      <c r="U35" s="151">
        <f ca="1">IFERROR(IF(AND($H36&gt;0,$H39=1,$J34/$G39&lt;1000,$J34/$G39&gt;499,$F39=1),$BQ$3/$G39,0),0)</f>
        <v>0</v>
      </c>
      <c r="V35" s="152">
        <f ca="1">IFERROR(IF(AND($H36&gt;0,$H39=2,$J34/$G39&lt;1000,$J34/$G39&gt;499,$F39=1),$BR$3/$G39,0),0)</f>
        <v>0</v>
      </c>
      <c r="W35" s="172">
        <f ca="1">IFERROR(IF(AND($H36&gt;0,$H39=3,$J34/$G39&lt;1000,$J34/$G39&gt;499,$F39=1),$BS$3/$G39,0),0)</f>
        <v>0</v>
      </c>
      <c r="X35" s="150">
        <f ca="1">IF(AND($H36=0,$H39=0,$B39&lt;2,$J35&gt;499,$J35&lt;1000,$F39=0),$BJ$3,0)</f>
        <v>0</v>
      </c>
      <c r="Y35" s="150">
        <f ca="1">IF(AND($H36=0,$H39=0,$B39&gt;1.999,$J35&gt;499,$J35&lt;1000,$F39=0),$BK$3,0)</f>
        <v>0</v>
      </c>
      <c r="Z35" s="151">
        <f ca="1">IF(AND($H36=25,$H39&gt;0,$B39&lt;2,$J35&gt;499,$J35&lt;1000,$F39=0),$BL$3,0)</f>
        <v>0</v>
      </c>
      <c r="AA35" s="151">
        <f ca="1">IF(AND($H36=50,$H39&gt;0,$B39&lt;2,$J35&gt;499,$J35&lt;1000,$F39=0),$BM$3,0)</f>
        <v>0</v>
      </c>
      <c r="AB35" s="151">
        <f ca="1">IF(AND($H36=100,$H39&gt;0,$J35&gt;499,$J35&lt;1000,$B39&lt;2,$F39=0),$BM$3+($BT$2*$B39),0)</f>
        <v>0</v>
      </c>
      <c r="AC35" s="152">
        <f ca="1">IF(AND($H36=25,$H39&gt;0,$B39&gt;1.999,$J35&gt;499,$J35&lt;1000,$F39=0),$BN$3,0)</f>
        <v>0</v>
      </c>
      <c r="AD35" s="152">
        <f ca="1">IF(AND($H36=50,$H39&gt;0,$J35&gt;499,$J35&lt;1000,$B39&gt;1.999,$F39=0),$BO$3,0)</f>
        <v>0</v>
      </c>
      <c r="AE35" s="152">
        <f ca="1">IF(AND($H36=50,$H39&gt;0,$B39&lt;2,$J35&gt;499,$J35&lt;1000,$F39=0),$BM$3,0)</f>
        <v>0</v>
      </c>
      <c r="AF35" s="165">
        <f ca="1">IF(AND($H36=100,$H39&gt;0,$J35&gt;499,$J35&lt;1000,$B39&lt;2,$F39=0),$BM$3+($BT$2*$B39),0)</f>
        <v>0</v>
      </c>
      <c r="AG35" s="151">
        <f ca="1">IF(AND($H36=25,$H39&gt;0,$B39&gt;1.999,$J35&gt;499,$J35&lt;1000,$F39=0),$BN$3,0)</f>
        <v>0</v>
      </c>
      <c r="AH35" s="152">
        <f ca="1">IF(AND($H36=50,$H39&gt;0,$J35&gt;499,$J35&lt;1000,$B39&gt;1.999,$F39=0),$BO$3,0)</f>
        <v>0</v>
      </c>
      <c r="AI35" s="172">
        <f ca="1">IF(AND($H36&gt;0,$H39=3,$G39&lt;&gt;0,$J35/$G39&gt;499,$J35/$G39&lt;1000,$F39=1),$BS$3/$G39,0)</f>
        <v>0</v>
      </c>
      <c r="AJ35" s="150">
        <f ca="1">IF(AND($H36=0,$H39=0,$B39&lt;2,$J36&gt;499,$J36&lt;1000,$F39=0),$BJ$3,0)</f>
        <v>0</v>
      </c>
      <c r="AK35" s="150">
        <f ca="1">IF(AND($H36=0,$H39=0,$B39&gt;1.999,$J36&gt;499,$J36&lt;1000,$F39=0),$BK$3,0)</f>
        <v>0</v>
      </c>
      <c r="AL35" s="151">
        <f ca="1">IF(AND($H36=25,$H39&gt;0,$B39&lt;2,$J36&gt;499,$J36&lt;1000,$F39=0),$BL$3,0)</f>
        <v>0</v>
      </c>
      <c r="AM35" s="151">
        <f ca="1">IF(AND($H36=50,$H39&gt;0,$B39&lt;2,$J36&gt;499,$J36&lt;1000,$F39=0),$BM$3,0)</f>
        <v>0</v>
      </c>
      <c r="AN35" s="151">
        <f ca="1">IF(AND($H36=100,$H39&gt;0,$J36&gt;499,$J36&lt;1000,$B39&lt;2,$F39=0),$BM$3+($BT$2*$B39),0)</f>
        <v>0</v>
      </c>
      <c r="AO35" s="152">
        <f ca="1">IF(AND($H36=25,$H39&gt;0,$B39&gt;1.999,$J36&gt;499,$J36&lt;1000,$F39=0),$BN$3,0)</f>
        <v>0</v>
      </c>
      <c r="AP35" s="152">
        <f ca="1">IF(AND($H36=50,$H39&gt;0,$J36&gt;499,$J36&lt;1000,$B39&gt;1.999,$F39=0),$BO$3,0)</f>
        <v>0</v>
      </c>
      <c r="AQ35" s="152">
        <f ca="1">IF(AND($H36=100,$H39&gt;0,$J36&gt;499,$J36&lt;1000,$B39&gt;1.999,$F39=0),$BO$3+($BT$2*$B39),0)</f>
        <v>0</v>
      </c>
      <c r="AR35" s="165">
        <f ca="1">IF(AND($H36=0,$H39=0,$G39&lt;&gt;0,$J36/$G39&lt;1000,$J36/$G39&gt;499,$F39=1),$BP$3/$G39,0)</f>
        <v>0</v>
      </c>
      <c r="AS35" s="151">
        <f ca="1">IF(AND($H36&gt;0,$H39=1,$G39&lt;&gt;0,$J36/$G39&lt;1000,$J36/$G39&gt;499,$F39=1),$BQ$3/$G39,0)</f>
        <v>0</v>
      </c>
      <c r="AT35" s="152">
        <f ca="1">IF(AND($H36&gt;0,$H39=2,$G39&lt;&gt;0,$J36/$G39&lt;1000,$J36/$G39&gt;499,$F39=1),$BR$3/$G39,0)</f>
        <v>0</v>
      </c>
      <c r="AU35" s="172">
        <f ca="1">IF(AND($H36&gt;0,$H39=3,$G39&lt;&gt;0,$J36/$G39&lt;1000,$J36/$G39&gt;499,$F39=1),$BS$3/$G39,0)</f>
        <v>0</v>
      </c>
      <c r="AV35" s="150">
        <f ca="1">IF(AND($H36=0,$H39=0,$B39&lt;2,$J37&gt;499,$J37&lt;1000,$F39=0),$BJ$3,0)</f>
        <v>0</v>
      </c>
      <c r="AW35" s="150">
        <f ca="1">IF(AND($H36=0,$H39=0,$B39&gt;1.999,$J37&gt;499,$J37&lt;1000,$F39=0),$BK$3,0)</f>
        <v>0</v>
      </c>
      <c r="AX35" s="151">
        <f ca="1">IF(AND($H36=25,$H39&gt;0,$B39&lt;2,$J37&gt;499,$J37&lt;1000,$F39=0),$BL$3,0)</f>
        <v>0</v>
      </c>
      <c r="AY35" s="151">
        <f ca="1">IF(AND($H36=50,$H39&gt;0,$B39&lt;2,$J37&gt;499,$J37&lt;1000,$F39=0),$BM$3,0)</f>
        <v>0</v>
      </c>
      <c r="AZ35" s="151">
        <f ca="1">IF(AND($H36=100,$H39&gt;0,$B39&lt;2,$J37&gt;499,$J37&lt;1000,$F39=0),$BM$3+($BT$2*$B39),0)</f>
        <v>0</v>
      </c>
      <c r="BA35" s="152">
        <f ca="1">IF(AND($H36=25,$H39&gt;0,$B39&gt;1.999,$J37&gt;499,$J37&lt;1000,$F39=0),$BN$3,0)</f>
        <v>0</v>
      </c>
      <c r="BB35" s="152">
        <f ca="1">IF(AND($H36=50,$H39&gt;0,$J37&gt;499,$J37&lt;1000,$B39&gt;1.999,$F39=0),$BO$3,0)</f>
        <v>0</v>
      </c>
      <c r="BC35" s="152">
        <f ca="1">IF(AND($H36=100,$H39&gt;0,$J37&gt;499,$J37&lt;1000,$B39&gt;1.999,$F39=0),$BO$3+($BT$2*$B39),0)</f>
        <v>0</v>
      </c>
      <c r="BD35" s="165">
        <f ca="1">IFERROR(IF(AND($H36=0,$H39=0,$G39&lt;&gt;0,$J37/$G39&lt;1000,$J37/$G39&gt;499,$F39=1),$BP$3/$G39,0),0)</f>
        <v>0</v>
      </c>
      <c r="BE35" s="151">
        <f ca="1">IFERROR(IF(AND($H36&gt;0,$H39=1,$G39&lt;&gt;0,$J37/$G39&lt;1000,$J37/$G39&gt;499,$F39=1),$BQ$3/$G39,0),0)</f>
        <v>0</v>
      </c>
      <c r="BF35" s="152">
        <f ca="1">IFERROR(IF(AND($H36&gt;0,$H39=2,$G39&lt;&gt;0,$J37/$G39&lt;1000,$J37/$G39&gt;499,$F39=1),$BR$3/$G39,0),0)</f>
        <v>0</v>
      </c>
      <c r="BG35" s="172">
        <f ca="1">IFERROR(IF(AND($H36&gt;0,$H39=3,$G39&lt;&gt;0,$J37/$G39&lt;1000,$J37/$G39&gt;499,$F39=1),$BS$3/$G39,0),0)</f>
        <v>0</v>
      </c>
      <c r="BI35" t="s">
        <v>1021</v>
      </c>
    </row>
    <row r="36" spans="1:61" ht="13.2">
      <c r="A36" s="260"/>
      <c r="B36" s="153">
        <f ca="1">IF(SUM(C36:G36)+I36=6,1,0)</f>
        <v>0</v>
      </c>
      <c r="C36" s="88">
        <f ca="1">IF(KLEJENIE!E39=1,1,IF(AND(C35&gt;267,C35&lt;2251),1,0))</f>
        <v>0</v>
      </c>
      <c r="D36" s="88">
        <f>IF((D35&gt;=50)*AND(D35&lt;1001),1,0)</f>
        <v>0</v>
      </c>
      <c r="E36" s="88">
        <f>IF((E35&gt;49)*AND(E35&lt;1401),1,0)</f>
        <v>0</v>
      </c>
      <c r="F36" s="88">
        <f ca="1">IF((F35&gt;599)*AND(F35&lt;2856),1,0)</f>
        <v>0</v>
      </c>
      <c r="G36" s="88" cm="1">
        <f t="array" aca="1" ref="G36" ca="1">IF(AND(G35&gt;399, IF(C39=1, G35&lt;1581, INDIRECT("'"&amp;Kalk!B20&amp;"'!L3")=1)),1,0)</f>
        <v>0</v>
      </c>
      <c r="H36" s="154">
        <f>Kalk!M35</f>
        <v>0</v>
      </c>
      <c r="I36" s="154">
        <f ca="1">IF(E35+((G35-E35)/2)&lt;1590,1,0)</f>
        <v>1</v>
      </c>
      <c r="J36" s="88">
        <f ca="1">IF(KLEJENIE!E$39=1,Kalk!AH21*2,Kalk!AH21)</f>
        <v>0</v>
      </c>
      <c r="K36" s="150">
        <f ca="1">IF(AND($C39=1,$J36&gt;0),IF($H36=100, SUM(AJ39:AU39)+($BT$2*$B39), SUM(AJ39:AU39)),IF(AND($B36=1,$J36&gt;0),SUM(AJ39:AU39) + IF(AND($H39&gt;1,$F39=0), $H39*0.05-0.05, 0),0))</f>
        <v>0</v>
      </c>
      <c r="L36" s="150">
        <f ca="1">IF(AND($H36=0,$H39=0,$B39&lt;2,$J34&gt;999,$J34&lt;3000,$F39=0),$BJ$4,0)</f>
        <v>0</v>
      </c>
      <c r="M36" s="150">
        <f ca="1">IF(AND($H36=0,$H39=0,$B39&gt;1.999,$J34&gt;999,$J34&lt;3000,$F39=0),$BK$4,0)</f>
        <v>0</v>
      </c>
      <c r="N36" s="151">
        <f ca="1">IF(AND($H36=25,$H39&gt;0,$B39&lt;2,$J34&gt;999,$J34&lt;3000,$F39=0),$BL$4,0)</f>
        <v>0</v>
      </c>
      <c r="O36" s="151">
        <f ca="1">IF(AND($H36=50,$H39&gt;0,$B39&lt;2,$J34&gt;999,$J34&lt;3000,$F39=0),$BM$4,0)</f>
        <v>0</v>
      </c>
      <c r="P36" s="151">
        <f ca="1">IF(AND($H36=100,$H39&gt;0,$B39&lt;2,$J34&gt;999,$J34&lt;3000,$F39=0),$BM$4+($BT$2*$B39),0)</f>
        <v>0</v>
      </c>
      <c r="Q36" s="152">
        <f ca="1">IF(AND($H36=25,$H39&gt;0,$B39&gt;1.999,$J34&gt;999,$J34&lt;3000,$F39=0),$BN$4,0)</f>
        <v>0</v>
      </c>
      <c r="R36" s="152">
        <f ca="1">IF(AND($H36=50,$H39&gt;0,$B39&gt;1.999,$J34&gt;999,$J34&lt;3000,$F39=0),$BO$4,0)</f>
        <v>0</v>
      </c>
      <c r="S36" s="152">
        <f ca="1">IF(AND($H36=100,$H39&gt;0,$J34&gt;999,$J34&lt;3000,$B39&gt;1.999,$F39=0),$BO$4+($BT$2*$B39),0)</f>
        <v>0</v>
      </c>
      <c r="T36" s="165">
        <f ca="1">IF(AND($H36=0,$H39=0,$J34/$G39&lt;3000,$J34/$G39&gt;999,$F39=1),$BP$4/$G39,0)</f>
        <v>0</v>
      </c>
      <c r="U36" s="151">
        <f ca="1">IFERROR(IF(AND($H36&gt;0,$H39=1,$J34/$G39&lt;3000,$J34/$G39&gt;999,$F39=1),$BQ$4/$G39,0),0)</f>
        <v>0</v>
      </c>
      <c r="V36" s="152">
        <f ca="1">IFERROR(IF(AND($H36&gt;0,$H39=2,$J34/$G39&lt;3000,$J34/$G39&gt;999,$F39=1),$BR$4/$G39,0),0)</f>
        <v>0</v>
      </c>
      <c r="W36" s="172">
        <f ca="1">IFERROR(IF(AND($H36&gt;0,$H39=3,$J34/$G39&lt;3000,$J34/$G39&gt;999,$F39=1),$BS$4/$G39,0),0)</f>
        <v>0</v>
      </c>
      <c r="X36" s="150">
        <f ca="1">IF(AND($H36=0,$H39=0,$B39&lt;2,$J35&gt;999,$J35&lt;3000,$F39=0),$BJ$4,0)</f>
        <v>0</v>
      </c>
      <c r="Y36" s="150">
        <f ca="1">IF(AND($H36=0,$H39=0,$B39&gt;1.999,$J35&gt;999,$J35&lt;3000,$F39=0),$BK$4,0)</f>
        <v>0</v>
      </c>
      <c r="Z36" s="151">
        <f ca="1">IF(AND($H36=25,$H39&gt;0,$B39&lt;2,$J35&gt;999,$J35&lt;3000,$F39=0),$BL$4,0)</f>
        <v>0</v>
      </c>
      <c r="AA36" s="151">
        <f ca="1">IF(AND($H36=50,$H39&gt;0,$B39&lt;2,$J35&gt;999,$J35&lt;3000,$F39=0),$BM$4,0)</f>
        <v>0</v>
      </c>
      <c r="AB36" s="151">
        <f ca="1">IF(AND($H36=100,$H39&gt;0,$B39&lt;2,$J35&gt;999,$J35&lt;3000,$F39=0),$BM$4+($BT$2*$B39),0)</f>
        <v>0</v>
      </c>
      <c r="AC36" s="152">
        <f ca="1">IF(AND($H36=25,$H39&gt;0,$B39&gt;1.999,$J35&gt;999,$J35&lt;3000,$F39=0),$BN$4,0)</f>
        <v>0</v>
      </c>
      <c r="AD36" s="152">
        <f ca="1">IF(AND($H36=50,$H39&gt;0,$B39&gt;1.999,$J35&gt;999,$J35&lt;3000,$F39=0),$BO$4,0)</f>
        <v>0</v>
      </c>
      <c r="AE36" s="152">
        <f ca="1">IF(AND($H36=50,$H39&gt;0,$B39&lt;2,$J35&gt;999,$J35&lt;3000,$F39=0),$BM$4,0)</f>
        <v>0</v>
      </c>
      <c r="AF36" s="165">
        <f ca="1">IF(AND($H36=100,$H39&gt;0,$B39&lt;2,$J35&gt;999,$J35&lt;3000,$F39=0),$BM$4+($BT$2*$B39),0)</f>
        <v>0</v>
      </c>
      <c r="AG36" s="151">
        <f ca="1">IF(AND($H36=25,$H39&gt;0,$B39&gt;1.999,$J35&gt;999,$J35&lt;3000,$F39=0),$BN$4,0)</f>
        <v>0</v>
      </c>
      <c r="AH36" s="152">
        <f ca="1">IF(AND($H36=50,$H39&gt;0,$B39&gt;1.999,$J35&gt;999,$J35&lt;3000,$F39=0),$BO$4,0)</f>
        <v>0</v>
      </c>
      <c r="AI36" s="172">
        <f ca="1">IF(AND($H36&gt;0,$H39=3,$G39&lt;&gt;0,$J35/$G39&gt;999,$J35/$G39&lt;3000,$F39=1),$BS$4/$G39,0)</f>
        <v>0</v>
      </c>
      <c r="AJ36" s="150">
        <f ca="1">IF(AND($H36=0,$H39=0,$B39&lt;2,$J36&gt;999,$J36&lt;3000,$F39=0),$BJ$4,0)</f>
        <v>0</v>
      </c>
      <c r="AK36" s="150">
        <f ca="1">IF(AND($H36=0,$H39=0,$B39&gt;1.999,$J36&gt;999,$J36&lt;3000,$F39=0),$BK$4,0)</f>
        <v>0</v>
      </c>
      <c r="AL36" s="151">
        <f ca="1">IF(AND($H36=25,$H39&gt;0,$B39&lt;2,$J36&gt;999,$J36&lt;3000,$F39=0),$BL$4,0)</f>
        <v>0</v>
      </c>
      <c r="AM36" s="151">
        <f ca="1">IF(AND($H36=50,$H39&gt;0,$B39&lt;2,$J36&gt;999,$J36&lt;3000,$F39=0),$BM$4,0)</f>
        <v>0</v>
      </c>
      <c r="AN36" s="151">
        <f ca="1">IF(AND($H36=100,$H39&gt;0,$B39&lt;2,$J36&gt;999,$J36&lt;3000,$F39=0),$BM$4+($BT$2*$B39),0)</f>
        <v>0</v>
      </c>
      <c r="AO36" s="152">
        <f ca="1">IF(AND($H36=25,$H39&gt;0,$B39&gt;1.999,$J36&gt;999,$J36&lt;3000,$F39=0),$BN$4,0)</f>
        <v>0</v>
      </c>
      <c r="AP36" s="152">
        <f ca="1">IF(AND($H36=50,$H39&gt;0,$B39&gt;1.999,$J36&gt;999,$J36&lt;3000,$F39=0),$BO$4,0)</f>
        <v>0</v>
      </c>
      <c r="AQ36" s="152">
        <f ca="1">IF(AND($H36=100,$H39&gt;0,$J36&gt;999,$J36&lt;3000,$B39&gt;1.999,$F39=0),$BO$4+($BT$2*$B39),0)</f>
        <v>0</v>
      </c>
      <c r="AR36" s="165">
        <f ca="1">IF(AND($H36=0,$H39=0,$G39&lt;&gt;0,$J36/$G39&lt;3000,$J36/$G39&gt;999,$F39=1),$BP$4/$G39,0)</f>
        <v>0</v>
      </c>
      <c r="AS36" s="151">
        <f ca="1">IF(AND($H36&gt;0,$H39=1,$G39&lt;&gt;0,$J36/$G39&lt;3000,$J36/$G39&gt;999,$F39=1),$BQ$4/$G39,0)</f>
        <v>0</v>
      </c>
      <c r="AT36" s="152">
        <f ca="1">IF(AND($H36&gt;0,$H39=2,$G39&lt;&gt;0,$J36/$G39&lt;3000,$J36/$G39&gt;999,$F39=1),$BR$4/$G39,0)</f>
        <v>0</v>
      </c>
      <c r="AU36" s="172">
        <f ca="1">IF(AND($H36&gt;0,$H39=3,$G39&lt;&gt;0,$J36/$G39&lt;3000,$J36/$G39&gt;999,$F39=1),$BS$4/$G39,0)</f>
        <v>0</v>
      </c>
      <c r="AV36" s="150">
        <f ca="1">IF(AND($H36=0,$H39=0,$B39&lt;2,$J37&gt;999,$J37&lt;3000,$F39=0),$BJ$4,0)</f>
        <v>0</v>
      </c>
      <c r="AW36" s="150">
        <f ca="1">IF(AND($H36=0,$H39=0,$B39&gt;1.999,$J37&gt;999,$J37&lt;3000,$F39=0),$BK$4,0)</f>
        <v>0</v>
      </c>
      <c r="AX36" s="151">
        <f ca="1">IF(AND($H36=25,$H39&gt;0,$B39&lt;2,$J37&gt;999,$J37&lt;3000,$F39=0),$BL$4,0)</f>
        <v>0</v>
      </c>
      <c r="AY36" s="151">
        <f ca="1">IF(AND($H36=50,$H39&gt;0,$B39&lt;2,$J37&gt;999,$J37&lt;3000,$F39=0),$BM$4,0)</f>
        <v>0</v>
      </c>
      <c r="AZ36" s="151">
        <f ca="1">IF(AND($H36=100,$H39&gt;0,$B39&lt;2,$J37&gt;999,$J37&lt;3000,$F39=0),$BM$4+($BT$2*$B39),0)</f>
        <v>0</v>
      </c>
      <c r="BA36" s="152">
        <f ca="1">IF(AND($H36=25,$H39&gt;0,$B39&gt;1.999,$J37&gt;999,$J37&lt;3000,$F39=0),$BN$4,0)</f>
        <v>0</v>
      </c>
      <c r="BB36" s="152">
        <f ca="1">IF(AND($H36=50,$H39&gt;0,$B39&gt;1.999,$J37&gt;999,$J37&lt;3000,$F39=0),$BO$4,0)</f>
        <v>0</v>
      </c>
      <c r="BC36" s="152">
        <f ca="1">IF(AND($H36=100,$H39&gt;0,$J37&gt;999,$J37&lt;3000,$B39&gt;1.999,$F39=0),$BO$4+($BT$2*$B39),0)</f>
        <v>0</v>
      </c>
      <c r="BD36" s="165">
        <f ca="1">IFERROR(IF(AND($H36=0,$H39=0,$G39&lt;&gt;0,$J37/$G39&lt;3000,$J37/$G39&gt;999,$F39=1),$BP$4/$G39,0),0)</f>
        <v>0</v>
      </c>
      <c r="BE36" s="151">
        <f ca="1">IFERROR(IF(AND($H36&gt;0,$H39=1,$G39&lt;&gt;0,$J37/$G39&lt;3000,$J37/$G39&gt;999,$F39=1),$BQ$4/$G39,0),0)</f>
        <v>0</v>
      </c>
      <c r="BF36" s="152">
        <f ca="1">IFERROR(IF(AND($H36&gt;0,$H39=2,$G39&lt;&gt;0,$J37/$G39&lt;3000,$J37/$G39&gt;999,$F39=1),$BR$4/$G39,0),0)</f>
        <v>0</v>
      </c>
      <c r="BG36" s="172">
        <f ca="1">IFERROR(IF(AND($H36&gt;0,$H39=3,$G39&lt;&gt;0,$J37/$G39&lt;3000,$J37/$G39&gt;999,$F39=1),$BS$4/$G39,0),0)</f>
        <v>0</v>
      </c>
      <c r="BI36" t="s">
        <v>1022</v>
      </c>
    </row>
    <row r="37" spans="1:61" ht="23.85" customHeight="1">
      <c r="A37" s="260"/>
      <c r="B37" s="275" t="s">
        <v>968</v>
      </c>
      <c r="C37" s="274" t="s">
        <v>986</v>
      </c>
      <c r="D37" s="268" t="s">
        <v>987</v>
      </c>
      <c r="E37" s="268"/>
      <c r="F37" s="275" t="s">
        <v>988</v>
      </c>
      <c r="G37" s="149" t="s">
        <v>989</v>
      </c>
      <c r="H37" s="269" t="s">
        <v>971</v>
      </c>
      <c r="I37" s="149"/>
      <c r="J37" s="88">
        <f ca="1">IF(KLEJENIE!E$39=1,Kalk!AH22*2,Kalk!AH22)</f>
        <v>0</v>
      </c>
      <c r="K37" s="150">
        <f ca="1">IF(AND($C39=1,$J37&gt;0),IF($H36=100, SUM(AV39:BG39)+($BT$2*$B39), SUM(AV39:BG39)),IF(AND($B36=1,$J37&gt;0),SUM(AV39:BG39) + IF(AND($H39&gt;1,$F39=0), $H39*0.05-0.05, 0),0))</f>
        <v>0</v>
      </c>
      <c r="L37" s="150">
        <f ca="1">IF(AND($H36=0,$H39=0,$B39&lt;2,$J34&gt;2999,$F39=0),$BJ$5,0)</f>
        <v>0</v>
      </c>
      <c r="M37" s="150">
        <f ca="1">IF(AND($H36=0,$H39=0,$B39&gt;1.999,$J34&gt;2999,$F39=0),$BK$5,0)</f>
        <v>0</v>
      </c>
      <c r="N37" s="151">
        <f ca="1">IF(AND($H36=25,$H39&gt;0,$B39&lt;2,$J34&gt;2999,$F39=0),$BL$5,0)</f>
        <v>0</v>
      </c>
      <c r="O37" s="151">
        <f ca="1">IF(AND($H36=50,$H39&gt;0,$B39&lt;2,$J34&gt;2999,$F39=0),$BM$5,0)</f>
        <v>0</v>
      </c>
      <c r="P37" s="151">
        <f ca="1">IF(AND($H36=100,$H39&gt;0,$J34&gt;2999,$B39&lt;2,$F39=0),$BM$5+($BT$2*$B39),0)</f>
        <v>0</v>
      </c>
      <c r="Q37" s="152">
        <f ca="1">IF(AND($H36=25,$H39&gt;0,$B39&gt;1.999,$J34&gt;2999,$F39=0),$BN$5,0)</f>
        <v>0</v>
      </c>
      <c r="R37" s="152">
        <f ca="1">IF(AND($H36=50,$H39&gt;0,$B39&gt;1.999,$J34&gt;2999,$F39=0),$BO$5,0)</f>
        <v>0</v>
      </c>
      <c r="S37" s="152">
        <f ca="1">IF(AND($H36=100,$H39&gt;0,$J34&gt;2999,$B39&gt;1.999,$F39=0),$BO$5+($BT$2*$B39),0)</f>
        <v>0</v>
      </c>
      <c r="T37" s="165">
        <f ca="1">IF(AND($H36=0,$H39=0,$J34/$G39&gt;2999,$F39=1),$BP$5/$G39,0)</f>
        <v>0</v>
      </c>
      <c r="U37" s="151">
        <f ca="1">IFERROR(IF(AND($H36&gt;0,$H39=1,$J34/$G39&gt;2999,$F39=1),$BQ$5/$G39,0),0)</f>
        <v>0</v>
      </c>
      <c r="V37" s="152">
        <f ca="1">IFERROR(IF(AND($H36&gt;0,$H39=2,$J34/$G39&gt;2999,$F39=1),$BR$5/$G39,0),0)</f>
        <v>0</v>
      </c>
      <c r="W37" s="172">
        <f ca="1">IFERROR(IF(AND($H36&gt;0,$H39=3,$J34/$G39&gt;2999,$F39=1),$BS$5/$G39,0),0)</f>
        <v>0</v>
      </c>
      <c r="X37" s="150">
        <f ca="1">IF(AND($H36=0,$H39=0,$B39&lt;2,$J35&gt;2999,$F39=0),$BJ$5,0)</f>
        <v>0</v>
      </c>
      <c r="Y37" s="150">
        <f ca="1">IF(AND($H36=0,$H39=0,$B39&gt;1.999,$J35&gt;2999,$F39=0),$BK$5,0)</f>
        <v>0</v>
      </c>
      <c r="Z37" s="151">
        <f ca="1">IF(AND($H36=25,$H39&gt;0,$B39&lt;2,$J35&gt;2999,$F39=0),$BL$5,0)</f>
        <v>0</v>
      </c>
      <c r="AA37" s="151">
        <f ca="1">IF(AND($H36=50,$H39&gt;0,$B39&lt;2,$J35&gt;2999,$F39=0),$BM$5,0)</f>
        <v>0</v>
      </c>
      <c r="AB37" s="151">
        <f ca="1">IF(AND($H36=100,$H39&gt;0,$J35&gt;2999,$B39&lt;2,$F39=0),$BM$5+($BT$2*$B39),0)</f>
        <v>0</v>
      </c>
      <c r="AC37" s="152">
        <f ca="1">IF(AND($H36=25,$H39&gt;0,$B39&gt;1.999,$J35&gt;2999,$F39=0),$BN$5,0)</f>
        <v>0</v>
      </c>
      <c r="AD37" s="152">
        <f ca="1">IF(AND($H36=50,$H39&gt;0,$B39&gt;1.999,$J35&gt;2999,$F39=0),$BO$5,0)</f>
        <v>0</v>
      </c>
      <c r="AE37" s="152">
        <f ca="1">IF(AND($H36=50,$H39&gt;0,$B39&lt;2,$J35&gt;2999,$F39=0),$BM$5,0)</f>
        <v>0</v>
      </c>
      <c r="AF37" s="165">
        <f ca="1">IF(AND($H36=100,$H39&gt;0,$J35&gt;2999,$B39&lt;2,$F39=0),$BM$5+($BT$2*$B39),0)</f>
        <v>0</v>
      </c>
      <c r="AG37" s="151">
        <f ca="1">IF(AND($H36=25,$H39&gt;0,$B39&gt;1.999,$J35&gt;2999,$F39=0),$BN$5,0)</f>
        <v>0</v>
      </c>
      <c r="AH37" s="152">
        <f ca="1">IF(AND($H36=50,$H39&gt;0,$B39&gt;1.999,$J35&gt;2999,$F39=0),$BO$5,0)</f>
        <v>0</v>
      </c>
      <c r="AI37" s="172">
        <f ca="1">IF(AND($H36&gt;0,$H39=3,$G39&lt;&gt;0,$J35/$G39&gt;2999,$F39=1),$BS$5/$G39,0)</f>
        <v>0</v>
      </c>
      <c r="AJ37" s="150">
        <f ca="1">IF(AND($H36=0,$H39=0,$B39&lt;2,$J36&gt;2999,$F39=0),$BJ$5,0)</f>
        <v>0</v>
      </c>
      <c r="AK37" s="150">
        <f ca="1">IF(AND($H36=0,$H39=0,$B39&gt;1.999,$J36&gt;2999,$F39=0),$BK$5,0)</f>
        <v>0</v>
      </c>
      <c r="AL37" s="151">
        <f ca="1">IF(AND($H36=25,$H39&gt;0,$B39&lt;2,$J36&gt;2999,$F39=0),$BL$5,0)</f>
        <v>0</v>
      </c>
      <c r="AM37" s="151">
        <f ca="1">IF(AND($H36=50,$H39&gt;0,$B39&lt;2,$J36&gt;2999,$F39=0),$BM$5,0)</f>
        <v>0</v>
      </c>
      <c r="AN37" s="151">
        <f ca="1">IF(AND($H36=100,$H39&gt;0,$J36&gt;2999,$B39&lt;2,$F39=0),$BM$5+($BT$2*$B39),0)</f>
        <v>0</v>
      </c>
      <c r="AO37" s="152">
        <f ca="1">IF(AND($H36=25,$H39&gt;0,$B39&gt;1.999,$J36&gt;2999,$F39=0),$BN$5,0)</f>
        <v>0</v>
      </c>
      <c r="AP37" s="152">
        <f ca="1">IF(AND($H36=50,$H39&gt;0,$B39&gt;1.999,$J36&gt;2999,$F39=0),$BO$5,0)</f>
        <v>0</v>
      </c>
      <c r="AQ37" s="152">
        <f ca="1">IF(AND($H36=100,$H39&gt;0,$J36&gt;2999,$B39&gt;1.999,$F39=0),$BO$5+($BT$2*$B39),0)</f>
        <v>0</v>
      </c>
      <c r="AR37" s="165">
        <f ca="1">IF(AND($H36=0,$H39=0,$G39&lt;&gt;0,$J36/$G39&gt;2999,$F39=1),$BP$5/$G39,0)</f>
        <v>0</v>
      </c>
      <c r="AS37" s="151">
        <f ca="1">IF(AND($H36&gt;0,$H39=1,$G39&lt;&gt;0,$J36/$G39&gt;2999,$F39=1),$BQ$5/$G39,0)</f>
        <v>0</v>
      </c>
      <c r="AT37" s="152">
        <f ca="1">IF(AND($H36&gt;0,$H39=2,$G39&lt;&gt;0,$J36/$G39&gt;2999,$F39=1),$BR$5/$G39,0)</f>
        <v>0</v>
      </c>
      <c r="AU37" s="172">
        <f ca="1">IF(AND($H36&gt;0,$H39=3,$G39&lt;&gt;0,$J36/$G39&gt;2999,$F39=1),$BS$5/$G39,0)</f>
        <v>0</v>
      </c>
      <c r="AV37" s="150">
        <f ca="1">IF(AND($H36=0,$H39=0,$B39&lt;2,$J37&gt;2999,$F39=0),$BJ$5,0)</f>
        <v>0</v>
      </c>
      <c r="AW37" s="150">
        <f ca="1">IF(AND($H36=0,$H39=0,$B39&gt;1.999,$J37&gt;2999,$F39=0),$BK$5,0)</f>
        <v>0</v>
      </c>
      <c r="AX37" s="151">
        <f ca="1">IF(AND($H36=25,$H39&gt;0,$B39&lt;2,$J37&gt;2999,$F39=0),$BL$5,0)</f>
        <v>0</v>
      </c>
      <c r="AY37" s="151">
        <f ca="1">IF(AND($H36=50,$H39&gt;0,$B39&lt;2,$J37&gt;2999,$F39=0),$BM$5,0)</f>
        <v>0</v>
      </c>
      <c r="AZ37" s="151">
        <f ca="1">IF(AND($H36=100,$H39&gt;0,$B39&lt;2,$J37&gt;2999,$F39=0),$BM$5+($BT$2*$B39),0)</f>
        <v>0</v>
      </c>
      <c r="BA37" s="152">
        <f ca="1">IF(AND($H36=25,$H39&gt;0,$B39&gt;1.999,$J37&gt;2999,$F39=0),$BN$5,0)</f>
        <v>0</v>
      </c>
      <c r="BB37" s="152">
        <f ca="1">IF(AND($H36=50,$H39&gt;0,$B39&gt;1.999,$J37&gt;2999,$F39=0),$BO$5,0)</f>
        <v>0</v>
      </c>
      <c r="BC37" s="152">
        <f ca="1">IF(AND($H36=100,$H39&gt;0,$J37&gt;2999,$B39&gt;1.999,$F39=0),$BO$5+($BT$2*$B39),0)</f>
        <v>0</v>
      </c>
      <c r="BD37" s="165">
        <f ca="1">IFERROR(IF(AND($H36=0,$H39=0,$G39&lt;&gt;0,$J37/$G39&gt;2999,$F39=1),$BP$5/$G39,0),0)</f>
        <v>0</v>
      </c>
      <c r="BE37" s="151">
        <f ca="1">IFERROR(IF(AND($H36&gt;0,$H39=1,$G39&lt;&gt;0,$J37/$G39&gt;2999,$F39=1),$BQ$5/$G39,0),0)</f>
        <v>0</v>
      </c>
      <c r="BF37" s="152">
        <f ca="1">IFERROR(IF(AND($H36&gt;0,$H39=2,$G39&lt;&gt;0,$J37/$G39&gt;2999,$F39=1),$BR$5/$G39,0),0)</f>
        <v>0</v>
      </c>
      <c r="BG37" s="172">
        <f ca="1">IFERROR(IF(AND($H36&gt;0,$H39=3,$G39&lt;&gt;0,$J37/$G39&gt;2999,$F39=1),$BS$5/$G39,0),0)</f>
        <v>0</v>
      </c>
      <c r="BI37" t="s">
        <v>1023</v>
      </c>
    </row>
    <row r="38" spans="1:61" ht="13.35" customHeight="1">
      <c r="A38" s="260"/>
      <c r="B38" s="275"/>
      <c r="C38" s="274"/>
      <c r="D38" s="147"/>
      <c r="E38" s="147"/>
      <c r="F38" s="275"/>
      <c r="G38" s="178"/>
      <c r="H38" s="269"/>
      <c r="I38" s="178"/>
      <c r="J38" s="6"/>
      <c r="K38" s="157"/>
      <c r="L38" s="162"/>
      <c r="M38" s="162"/>
      <c r="N38" s="272" t="s">
        <v>975</v>
      </c>
      <c r="O38" s="272"/>
      <c r="P38" s="272"/>
      <c r="Q38" s="273" t="s">
        <v>976</v>
      </c>
      <c r="R38" s="273"/>
      <c r="S38" s="273"/>
      <c r="T38" s="271" t="s">
        <v>992</v>
      </c>
      <c r="U38" s="271"/>
      <c r="V38" s="271"/>
      <c r="W38" s="271"/>
      <c r="X38" s="162"/>
      <c r="Y38" s="162"/>
      <c r="Z38" s="272" t="s">
        <v>975</v>
      </c>
      <c r="AA38" s="272"/>
      <c r="AB38" s="272"/>
      <c r="AC38" s="273" t="s">
        <v>976</v>
      </c>
      <c r="AD38" s="273"/>
      <c r="AE38" s="273"/>
      <c r="AF38" s="271" t="s">
        <v>992</v>
      </c>
      <c r="AG38" s="271"/>
      <c r="AH38" s="271"/>
      <c r="AI38" s="271"/>
      <c r="AJ38" s="162"/>
      <c r="AK38" s="162"/>
      <c r="AL38" s="272" t="s">
        <v>975</v>
      </c>
      <c r="AM38" s="272"/>
      <c r="AN38" s="272"/>
      <c r="AO38" s="273" t="s">
        <v>976</v>
      </c>
      <c r="AP38" s="273"/>
      <c r="AQ38" s="273"/>
      <c r="AR38" s="271" t="s">
        <v>992</v>
      </c>
      <c r="AS38" s="271"/>
      <c r="AT38" s="271"/>
      <c r="AU38" s="271"/>
      <c r="AV38" s="162"/>
      <c r="AW38" s="162"/>
      <c r="AX38" s="272" t="s">
        <v>975</v>
      </c>
      <c r="AY38" s="272"/>
      <c r="AZ38" s="272"/>
      <c r="BA38" s="273" t="s">
        <v>976</v>
      </c>
      <c r="BB38" s="273"/>
      <c r="BC38" s="273"/>
      <c r="BD38" s="271" t="s">
        <v>992</v>
      </c>
      <c r="BE38" s="271"/>
      <c r="BF38" s="271"/>
      <c r="BG38" s="271"/>
      <c r="BI38" t="s">
        <v>1024</v>
      </c>
    </row>
    <row r="39" spans="1:61" ht="13.2">
      <c r="A39" s="260"/>
      <c r="B39" s="158">
        <f ca="1">IF(KLEJENIE!E39=1,Kalk!J35/2,Kalk!J35)</f>
        <v>3.7599999999999998E-4</v>
      </c>
      <c r="C39" s="153">
        <f ca="1">IF(SUM(D39:F39)=3,1,0)</f>
        <v>0</v>
      </c>
      <c r="D39" s="88">
        <f ca="1">IF((F35&gt;599)*AND(F35&lt;2851),1,0)</f>
        <v>0</v>
      </c>
      <c r="E39" s="88">
        <f ca="1">IF((G35&gt;399)*AND(G35&lt;1566),1,0)</f>
        <v>0</v>
      </c>
      <c r="F39" s="154">
        <f>IF(Kalk!B35="Die cut",1,0)</f>
        <v>0</v>
      </c>
      <c r="G39" s="154">
        <f>Kalk!J37*Kalk!J38</f>
        <v>1</v>
      </c>
      <c r="H39" s="154">
        <f>Kalk!W35</f>
        <v>0</v>
      </c>
      <c r="I39" s="154">
        <f>IF(OR(I38="F0200",I38="F0201",I38="F0202",I38="F0203",I38="F0201-F0203",I38="F0200-F0203",I38="F0501",I38="F0452"),1,0)</f>
        <v>0</v>
      </c>
      <c r="J39" s="160"/>
      <c r="K39" s="161"/>
      <c r="L39" s="88">
        <f t="shared" ref="L39:BG39" ca="1" si="4">SUM(L34:L38)</f>
        <v>0</v>
      </c>
      <c r="M39" s="88">
        <f t="shared" ca="1" si="4"/>
        <v>0</v>
      </c>
      <c r="N39" s="88">
        <f t="shared" ca="1" si="4"/>
        <v>0</v>
      </c>
      <c r="O39" s="88">
        <f t="shared" ca="1" si="4"/>
        <v>0</v>
      </c>
      <c r="P39" s="88">
        <f t="shared" ca="1" si="4"/>
        <v>0</v>
      </c>
      <c r="Q39" s="88">
        <f t="shared" ca="1" si="4"/>
        <v>0</v>
      </c>
      <c r="R39" s="88">
        <f t="shared" ca="1" si="4"/>
        <v>0</v>
      </c>
      <c r="S39" s="88">
        <f t="shared" ca="1" si="4"/>
        <v>0</v>
      </c>
      <c r="T39" s="88">
        <f t="shared" ca="1" si="4"/>
        <v>0</v>
      </c>
      <c r="U39" s="88">
        <f t="shared" ca="1" si="4"/>
        <v>0</v>
      </c>
      <c r="V39" s="88">
        <f t="shared" ca="1" si="4"/>
        <v>0</v>
      </c>
      <c r="W39" s="88">
        <f t="shared" ca="1" si="4"/>
        <v>0</v>
      </c>
      <c r="X39" s="88">
        <f t="shared" ca="1" si="4"/>
        <v>0</v>
      </c>
      <c r="Y39" s="88">
        <f t="shared" ca="1" si="4"/>
        <v>0</v>
      </c>
      <c r="Z39" s="88">
        <f t="shared" ca="1" si="4"/>
        <v>0</v>
      </c>
      <c r="AA39" s="88">
        <f t="shared" ca="1" si="4"/>
        <v>0</v>
      </c>
      <c r="AB39" s="88">
        <f t="shared" ca="1" si="4"/>
        <v>0</v>
      </c>
      <c r="AC39" s="88">
        <f t="shared" ca="1" si="4"/>
        <v>0</v>
      </c>
      <c r="AD39" s="88">
        <f t="shared" ca="1" si="4"/>
        <v>0</v>
      </c>
      <c r="AE39" s="88">
        <f t="shared" ca="1" si="4"/>
        <v>0</v>
      </c>
      <c r="AF39" s="88">
        <f t="shared" ca="1" si="4"/>
        <v>0</v>
      </c>
      <c r="AG39" s="88">
        <f t="shared" ca="1" si="4"/>
        <v>0</v>
      </c>
      <c r="AH39" s="88">
        <f t="shared" ca="1" si="4"/>
        <v>0</v>
      </c>
      <c r="AI39" s="88">
        <f t="shared" ca="1" si="4"/>
        <v>0</v>
      </c>
      <c r="AJ39" s="88">
        <f t="shared" ca="1" si="4"/>
        <v>0</v>
      </c>
      <c r="AK39" s="88">
        <f t="shared" ca="1" si="4"/>
        <v>0</v>
      </c>
      <c r="AL39" s="88">
        <f t="shared" ca="1" si="4"/>
        <v>0</v>
      </c>
      <c r="AM39" s="88">
        <f t="shared" ca="1" si="4"/>
        <v>0</v>
      </c>
      <c r="AN39" s="88">
        <f t="shared" ca="1" si="4"/>
        <v>0</v>
      </c>
      <c r="AO39" s="88">
        <f t="shared" ca="1" si="4"/>
        <v>0</v>
      </c>
      <c r="AP39" s="88">
        <f t="shared" ca="1" si="4"/>
        <v>0</v>
      </c>
      <c r="AQ39" s="88">
        <f t="shared" ca="1" si="4"/>
        <v>0</v>
      </c>
      <c r="AR39" s="88">
        <f t="shared" ca="1" si="4"/>
        <v>0</v>
      </c>
      <c r="AS39" s="88">
        <f t="shared" ca="1" si="4"/>
        <v>0</v>
      </c>
      <c r="AT39" s="88">
        <f t="shared" ca="1" si="4"/>
        <v>0</v>
      </c>
      <c r="AU39" s="88">
        <f t="shared" ca="1" si="4"/>
        <v>0</v>
      </c>
      <c r="AV39" s="88">
        <f t="shared" ca="1" si="4"/>
        <v>0</v>
      </c>
      <c r="AW39" s="88">
        <f t="shared" ca="1" si="4"/>
        <v>0</v>
      </c>
      <c r="AX39" s="88">
        <f t="shared" ca="1" si="4"/>
        <v>0</v>
      </c>
      <c r="AY39" s="88">
        <f t="shared" ca="1" si="4"/>
        <v>0</v>
      </c>
      <c r="AZ39" s="88">
        <f t="shared" ca="1" si="4"/>
        <v>0</v>
      </c>
      <c r="BA39" s="88">
        <f t="shared" ca="1" si="4"/>
        <v>0</v>
      </c>
      <c r="BB39" s="88">
        <f t="shared" ca="1" si="4"/>
        <v>0</v>
      </c>
      <c r="BC39" s="88">
        <f t="shared" ca="1" si="4"/>
        <v>0</v>
      </c>
      <c r="BD39" s="88">
        <f t="shared" ca="1" si="4"/>
        <v>0</v>
      </c>
      <c r="BE39" s="88">
        <f t="shared" ca="1" si="4"/>
        <v>0</v>
      </c>
      <c r="BF39" s="88">
        <f t="shared" ca="1" si="4"/>
        <v>0</v>
      </c>
      <c r="BG39" s="88">
        <f t="shared" ca="1" si="4"/>
        <v>0</v>
      </c>
      <c r="BI39" t="s">
        <v>1025</v>
      </c>
    </row>
    <row r="40" spans="1:61" ht="13.2">
      <c r="A40" s="260"/>
      <c r="B40" s="123"/>
      <c r="C40" s="123"/>
      <c r="D40" s="123"/>
      <c r="E40" s="159"/>
      <c r="F40" s="6"/>
      <c r="G40" s="6"/>
      <c r="H40" s="6"/>
      <c r="I40" s="6"/>
      <c r="J40" s="166"/>
      <c r="BI40" t="s">
        <v>1026</v>
      </c>
    </row>
    <row r="41" spans="1:61" ht="13.2">
      <c r="B41" s="167"/>
      <c r="C41" s="167"/>
      <c r="D41" s="167"/>
      <c r="E41" s="167"/>
      <c r="F41" s="167"/>
      <c r="G41" s="167"/>
      <c r="H41" s="167"/>
      <c r="I41" s="167"/>
      <c r="J41" s="88" t="s">
        <v>83</v>
      </c>
      <c r="K41" s="110" t="s">
        <v>956</v>
      </c>
      <c r="L41" s="110" t="s">
        <v>975</v>
      </c>
      <c r="M41" s="110" t="s">
        <v>976</v>
      </c>
      <c r="N41" s="116" t="s">
        <v>958</v>
      </c>
      <c r="O41" s="116" t="s">
        <v>959</v>
      </c>
      <c r="P41" s="116" t="s">
        <v>960</v>
      </c>
      <c r="Q41" s="146" t="s">
        <v>958</v>
      </c>
      <c r="R41" s="146" t="s">
        <v>959</v>
      </c>
      <c r="S41" s="146" t="s">
        <v>960</v>
      </c>
      <c r="T41" s="88" t="s">
        <v>977</v>
      </c>
      <c r="U41" s="108" t="s">
        <v>978</v>
      </c>
      <c r="V41" s="170" t="s">
        <v>979</v>
      </c>
      <c r="W41" s="171" t="s">
        <v>980</v>
      </c>
      <c r="X41" s="110" t="s">
        <v>975</v>
      </c>
      <c r="Y41" s="110" t="s">
        <v>976</v>
      </c>
      <c r="Z41" s="116" t="s">
        <v>958</v>
      </c>
      <c r="AA41" s="116" t="s">
        <v>959</v>
      </c>
      <c r="AB41" s="116" t="s">
        <v>960</v>
      </c>
      <c r="AC41" s="146" t="s">
        <v>958</v>
      </c>
      <c r="AD41" s="146" t="s">
        <v>959</v>
      </c>
      <c r="AE41" s="146" t="s">
        <v>960</v>
      </c>
      <c r="AF41" s="88" t="s">
        <v>977</v>
      </c>
      <c r="AG41" s="108" t="s">
        <v>978</v>
      </c>
      <c r="AH41" s="170" t="s">
        <v>979</v>
      </c>
      <c r="AI41" s="171" t="s">
        <v>980</v>
      </c>
      <c r="AJ41" s="110" t="s">
        <v>975</v>
      </c>
      <c r="AK41" s="110" t="s">
        <v>976</v>
      </c>
      <c r="AL41" s="116" t="s">
        <v>958</v>
      </c>
      <c r="AM41" s="116" t="s">
        <v>959</v>
      </c>
      <c r="AN41" s="116" t="s">
        <v>960</v>
      </c>
      <c r="AO41" s="146" t="s">
        <v>958</v>
      </c>
      <c r="AP41" s="146" t="s">
        <v>959</v>
      </c>
      <c r="AQ41" s="146" t="s">
        <v>960</v>
      </c>
      <c r="AR41" s="88" t="s">
        <v>977</v>
      </c>
      <c r="AS41" s="108" t="s">
        <v>978</v>
      </c>
      <c r="AT41" s="170" t="s">
        <v>979</v>
      </c>
      <c r="AU41" s="171" t="s">
        <v>980</v>
      </c>
      <c r="AV41" s="110" t="s">
        <v>975</v>
      </c>
      <c r="AW41" s="110" t="s">
        <v>976</v>
      </c>
      <c r="AX41" s="116" t="s">
        <v>958</v>
      </c>
      <c r="AY41" s="116" t="s">
        <v>959</v>
      </c>
      <c r="AZ41" s="116" t="s">
        <v>960</v>
      </c>
      <c r="BA41" s="146" t="s">
        <v>958</v>
      </c>
      <c r="BB41" s="146" t="s">
        <v>959</v>
      </c>
      <c r="BC41" s="146" t="s">
        <v>960</v>
      </c>
      <c r="BD41" s="88" t="s">
        <v>977</v>
      </c>
      <c r="BE41" s="108" t="s">
        <v>978</v>
      </c>
      <c r="BF41" s="170" t="s">
        <v>979</v>
      </c>
      <c r="BG41" s="171" t="s">
        <v>980</v>
      </c>
      <c r="BI41" t="s">
        <v>1027</v>
      </c>
    </row>
    <row r="42" spans="1:61" ht="12.9" customHeight="1">
      <c r="A42" s="260">
        <v>6</v>
      </c>
      <c r="B42" s="274" t="s">
        <v>982</v>
      </c>
      <c r="C42" s="147" t="s">
        <v>56</v>
      </c>
      <c r="D42" s="147" t="s">
        <v>57</v>
      </c>
      <c r="E42" s="147" t="s">
        <v>66</v>
      </c>
      <c r="F42" s="268" t="s">
        <v>963</v>
      </c>
      <c r="G42" s="268"/>
      <c r="H42" s="269" t="s">
        <v>965</v>
      </c>
      <c r="I42" s="269" t="s">
        <v>970</v>
      </c>
      <c r="J42" s="88">
        <f ca="1">IF(KLEJENIE!E$47=1,Kalk!AH23*2,Kalk!AH23)</f>
        <v>0</v>
      </c>
      <c r="K42" s="150">
        <f ca="1">IF(AND($C47=1,$J42&gt;0),IF($H44=100, SUM(L47:W47)+($BT$2*$B47), SUM(L47:W47)),IF(AND($B44=1,$J42&gt;0),SUM(L47:W47)+IF(AND($H47&gt;1,$F47=0), $H47*0.05-0.05, 0),0))</f>
        <v>0</v>
      </c>
      <c r="L42" s="150">
        <f ca="1">IF(AND($H44=0,$H47=0,$J42&lt;500,$J42&gt;0,$B47&lt;2,$F47=0),BJ42/$J42,0)</f>
        <v>0</v>
      </c>
      <c r="M42" s="150">
        <f ca="1">IF(AND($H44=0,$H47=0,$J42&lt;500,$J42&gt;0,$B47&gt;1.999,$F47=0),BK42/$J42,0)</f>
        <v>0</v>
      </c>
      <c r="N42" s="151">
        <f ca="1">IF(AND($H47&gt;0,$H44=25,$B47&lt;2,$J42&lt;500,$F47=0),BV45/$J42,0)</f>
        <v>0</v>
      </c>
      <c r="O42" s="151">
        <f ca="1">IF(AND($H47&gt;0,$H44=50,$B47&lt;2,$J42&gt;0,$J42&lt;500,$F47=0),150/$J42,0)</f>
        <v>0</v>
      </c>
      <c r="P42" s="151">
        <f ca="1">IF(AND($H47&gt;0,$H44=100,$J42&gt;0,$J42&lt;500,$B47&lt;2,$F47=0),(BV45/$J42)+($BT$2*$B47),0)</f>
        <v>0</v>
      </c>
      <c r="Q42" s="152">
        <f ca="1">IF(AND($H47&gt;0,$H44=25,$J42&gt;0,$J42&lt;500,$B47&gt;1.999,$F47=0),BV45/$J42,0)</f>
        <v>0</v>
      </c>
      <c r="R42" s="152">
        <f ca="1">IF(AND($H47&gt;0,$H44=50,$J42&lt;500,$B47&gt;1.999,$F47=0),150/$J42,0)</f>
        <v>0</v>
      </c>
      <c r="S42" s="152">
        <f ca="1">IF(AND($H47&gt;0,$H44=100,$J42&lt;500,$B47&gt;1.999,$F47=0),(BV45/$J42)+($BT$2*$B47),0)</f>
        <v>0</v>
      </c>
      <c r="T42" s="165">
        <f ca="1">IFERROR(IF(AND($H44=0,$H47=0,$G47&lt;&gt;0,$J42&lt;&gt;0,$J42/$G47&lt;500,$J42/$G47&gt;0,$F47=1),BP42/$J42,0),0)</f>
        <v>0</v>
      </c>
      <c r="U42" s="151">
        <f ca="1">IFERROR(IF(AND($H44&gt;0,$H47=1,$J42/$G47&lt;500,$J42/$G47&gt;0,$F47=1),BQ42/$J42,0),0)</f>
        <v>0</v>
      </c>
      <c r="V42" s="152">
        <f ca="1">IFERROR(IF(AND($H44&gt;0,$H47=2,$J42/$G47&lt;500,$J42/$G47&gt;0,$F47=1),BR42/$J42,0),0)</f>
        <v>0</v>
      </c>
      <c r="W42" s="172">
        <f ca="1">IFERROR(IF(AND($H44&gt;0,$H47=3,$J42/$G47&lt;500,$J42/$G47&gt;0,$F47=1),BS42/$J42,0),0)</f>
        <v>0</v>
      </c>
      <c r="X42" s="150">
        <f ca="1">IF(AND($H44=0,$H47=0,$J43&lt;500,$J43&gt;0,$B47&lt;2,$F47=0),BJ42/$J43,0)</f>
        <v>0</v>
      </c>
      <c r="Y42" s="150">
        <f ca="1">IF(AND($H44=0,$H47=0,$J43&lt;500,$J43&gt;0,$B47&gt;1.999,$F47=0),BK42/$J43,0)</f>
        <v>0</v>
      </c>
      <c r="Z42" s="151">
        <f ca="1">IF(AND($H47&gt;0,$H44=25,$B47&lt;2,$J43&lt;500,$F47=0),BV45/$J43,0)</f>
        <v>0</v>
      </c>
      <c r="AA42" s="151">
        <f ca="1">IF(AND($H47&gt;0,$H44=50,$B47&lt;2,$J43&lt;500,$F47=0),150/$J43,0)</f>
        <v>0</v>
      </c>
      <c r="AB42" s="151">
        <f ca="1">IF(AND($H47&gt;0,$H44=100,$J43&lt;500,$B47&lt;2,$F47=0),(BV45/$J43)+($BT$2*$B47),0)</f>
        <v>0</v>
      </c>
      <c r="AC42" s="152">
        <f ca="1">IF(AND($H47&gt;0,$H44=25,$J43&lt;500,$B47&gt;1.999,$F47=0),BV45/$J43,0)</f>
        <v>0</v>
      </c>
      <c r="AD42" s="152">
        <f ca="1">IF(AND($H47&gt;0,$H44=50,$J43&lt;500,$B47&gt;1.999,$F47=0),150/$J43,0)</f>
        <v>0</v>
      </c>
      <c r="AE42" s="152">
        <f ca="1">IF(AND($H47&gt;0,$H44=50,$B47&lt;2,$J43&gt;0,$J43&lt;500,$F47=0),150/$J43,0)</f>
        <v>0</v>
      </c>
      <c r="AF42" s="165">
        <f ca="1">IF(AND($H47&gt;0,$H44=100,$J43&gt;0,$J43&lt;500,$B47&lt;2,$F47=0),(BV45/$J43)+($BT$2*$B47),0)</f>
        <v>0</v>
      </c>
      <c r="AG42" s="151">
        <f ca="1">IF(AND($H47&gt;0,$H44=25,$J43&gt;0,$J43&lt;500,$B47&gt;1.999,$F47=0),BV45/$J43,0)</f>
        <v>0</v>
      </c>
      <c r="AH42" s="152">
        <f ca="1">IF(AND($H47&gt;0,$H44=50,$J43&gt;0,$J43&lt;500,$B47&gt;1.999,$F47=0),150/$J43,0)</f>
        <v>0</v>
      </c>
      <c r="AI42" s="172" t="e">
        <f ca="1">IF(AND($H44&gt;0,$H47=3,$G47&lt;&gt;0,$J43&gt;0,$J43/$G47&gt;0,$J43/$G47&lt;500,$F47=1),BS42/$J43,0)</f>
        <v>#DIV/0!</v>
      </c>
      <c r="AJ42" s="150">
        <f ca="1">IF(AND($H44=0,$H47=0,$J44&gt;0,$J44&lt;500,$B47&lt;2,$F47=0),BJ42/$J44,0)</f>
        <v>0</v>
      </c>
      <c r="AK42" s="150">
        <f ca="1">IF(AND($H44=0,$H47=0,$J44&gt;0,$J44&lt;500,$B47&gt;1.999,$F47=0),BK42/$J44,0)</f>
        <v>0</v>
      </c>
      <c r="AL42" s="151">
        <f ca="1">IF(AND($H47&gt;0,$H44=25,$B47&lt;2,$J44&gt;0,$J44&lt;500,$F47=0),BV45/$J44,0)</f>
        <v>0</v>
      </c>
      <c r="AM42" s="151">
        <f ca="1">IF(AND($H47&gt;0,$H44=50,$B47&lt;2,$J44&gt;0,$J44&lt;500,$F47=0),BV45/$J44,0)</f>
        <v>0</v>
      </c>
      <c r="AN42" s="151">
        <f ca="1">IF(AND($H47&gt;0,$H44=100,$J44&gt;0,$J44&lt;500,$B47&lt;2,$F47=0),(BV45/$J44)+($BT$2*$B47),0)</f>
        <v>0</v>
      </c>
      <c r="AO42" s="152">
        <f ca="1">IF(AND($H47&gt;0,$H44=25,$J44&gt;0,$J44&lt;500,$B47&gt;1.999,$F47=0),BV45/$J44,0)</f>
        <v>0</v>
      </c>
      <c r="AP42" s="152">
        <f ca="1">IF(AND($H47&gt;0,$H44=50,$J44&gt;0,$J44&lt;500,$B47&gt;1.999,$F47=0),150/$J44,0)</f>
        <v>0</v>
      </c>
      <c r="AQ42" s="152">
        <f ca="1">IF(AND($H47&gt;0,$H44=100,$J44&gt;0,$J44&lt;500,$B47&gt;1.999,$F47=0),(BV45/$J44)+($BT$2*$B47),0)</f>
        <v>0</v>
      </c>
      <c r="AR42" s="165" t="e">
        <f ca="1">IF(AND($H44=0,$H47=0,$G47&lt;&gt;0,$J44&gt;0,$J44/$G47&lt;500,$J44/$G47&gt;0,$F47=1),BP42/$J44,0)</f>
        <v>#DIV/0!</v>
      </c>
      <c r="AS42" s="151" t="e">
        <f ca="1">IF(AND($H44&gt;0,$H47=1,$G47&lt;&gt;0,$J44&gt;0,$J44/$G47&lt;500,$J44/$G47&gt;0,$F47=1),BQ42/$J44,0)</f>
        <v>#DIV/0!</v>
      </c>
      <c r="AT42" s="152" t="e">
        <f ca="1">IF(AND($H44&gt;0,$H47=2,$G47&lt;&gt;0,$J44&gt;0,$J44/$G47&lt;500,$J44/$G47&gt;0,$F47=1),BR42/$J44,0)</f>
        <v>#DIV/0!</v>
      </c>
      <c r="AU42" s="172" t="e">
        <f ca="1">IF(AND($H44&gt;0,$H47=3,$G47&lt;&gt;0,$J44&gt;0,$J44/$G47&lt;500,$J44/$G47&gt;0,$F47=1),BS42/$J44,0)</f>
        <v>#DIV/0!</v>
      </c>
      <c r="AV42" s="150">
        <f ca="1">IF(AND($H44=0,$H47=0,$J45&gt;0,$J45&lt;500,$B47&lt;2,$F47=0),BJ42/$J45,0)</f>
        <v>0</v>
      </c>
      <c r="AW42" s="150">
        <f ca="1">IF(AND($H44=0,$H47=0,$J45&gt;0,$J45&lt;500,$B47&gt;1.999,$F47=0),BK42/$J45,0)</f>
        <v>0</v>
      </c>
      <c r="AX42" s="151">
        <f ca="1">IF(AND($H47&gt;0,$H44=25,$B47&lt;2,$J45&gt;0,$J45&lt;500,$F47=0),BV45/$J45,0)</f>
        <v>0</v>
      </c>
      <c r="AY42" s="151">
        <f ca="1">IF(AND($H47&gt;0,$H44=50,$B47&lt;2,$J45&gt;0,$J45&lt;500,$F47=0),150/$J45,0)</f>
        <v>0</v>
      </c>
      <c r="AZ42" s="151">
        <f ca="1">IF(AND($H47&gt;0,$H44=100,$B47&lt;2,$J45&gt;0,$J45&lt;500,$F47=0),(BV45/$J45)+($BT$2*$B47),0)</f>
        <v>0</v>
      </c>
      <c r="BA42" s="152">
        <f ca="1">IF(AND($H47&gt;0,$H44=25,$J45&gt;0,$J45&lt;500,$B47&gt;1.999,$F47=0),BV45/$J45,0)</f>
        <v>0</v>
      </c>
      <c r="BB42" s="152">
        <f ca="1">IF(AND($H47&gt;0,$H44=50,$J45&gt;0,$J45&lt;500,$B47&gt;1.999,$F47=0),150/$J45,0)</f>
        <v>0</v>
      </c>
      <c r="BC42" s="152">
        <f ca="1">IF(AND($H47&gt;0,$H44=100,$J45&gt;0,$J45&lt;500,$B47&gt;1.999,$F47=0),(BV45/$J45)+($BT$2*$B47),0)</f>
        <v>0</v>
      </c>
      <c r="BD42" s="165">
        <f ca="1">IFERROR(IF(AND($H44=0,$H47=0,$G47&lt;&gt;0,$J45&gt;0,$J45/$G47&lt;500,$J45/$G47&gt;0,$F47=1),BP42/$J45,0),0)</f>
        <v>0</v>
      </c>
      <c r="BE42" s="151">
        <f ca="1">IFERROR(IF(AND($H44&gt;0,$H47=1,$G47&lt;&gt;0,$J45&gt;0,$J45/$G47&lt;500,$J45/$G47&gt;0,$F47=1),BQ42/$J45,0),0)</f>
        <v>0</v>
      </c>
      <c r="BF42" s="152">
        <f ca="1">IFERROR(IF(AND($H44&gt;0,$H47=2,$G47&lt;&gt;0,$J45&gt;0,$J45/$G47&lt;500,$J45/$G47&gt;0,$F47=1),BR42/$J45,0),0)</f>
        <v>0</v>
      </c>
      <c r="BG42" s="172">
        <f ca="1">IFERROR(IF(AND($H44&gt;0,$H47=3,$G47&lt;&gt;0,$J45&gt;0,$J45/$G47&lt;500,$J45/$G47&gt;0,$F47=1),BS42/$J45,0),0)</f>
        <v>0</v>
      </c>
      <c r="BI42" t="s">
        <v>1028</v>
      </c>
    </row>
    <row r="43" spans="1:61" ht="13.2">
      <c r="A43" s="260"/>
      <c r="B43" s="274"/>
      <c r="C43" s="174">
        <f>Kalk!C24</f>
        <v>0</v>
      </c>
      <c r="D43" s="174">
        <f>Kalk!E24</f>
        <v>0</v>
      </c>
      <c r="E43" s="147">
        <f>Kalk!G24</f>
        <v>0</v>
      </c>
      <c r="F43" s="147">
        <f ca="1">IF(KLEJENIE!E47=1,Kalk!H24,Kalk!I24)</f>
        <v>47</v>
      </c>
      <c r="G43" s="147">
        <f ca="1">Kalk!I26</f>
        <v>8</v>
      </c>
      <c r="H43" s="269"/>
      <c r="I43" s="269"/>
      <c r="J43" s="88">
        <f ca="1">IF(KLEJENIE!E$47=1,Kalk!AH24*2,Kalk!AH24)</f>
        <v>0</v>
      </c>
      <c r="K43" s="150">
        <f ca="1">IF(AND($C47=1,$J43&gt;0),IF($H44=100, SUM(X47:AI47)+($BT$2*$B47), SUM(X47:AI47)),IF(AND($B44=1,$J43&gt;0),SUM(X47:AI47) + IF(AND($H47&gt;1,$F47=0), $H47*0.05-0.05, 0),0))</f>
        <v>0</v>
      </c>
      <c r="L43" s="150">
        <f ca="1">IF(AND($H44=0,$H47=0,$B47&lt;2,$J42&gt;499,$J42&lt;1000,$F47=0),$BJ$3,0)</f>
        <v>0</v>
      </c>
      <c r="M43" s="150">
        <f ca="1">IF(AND($H44=0,$H47=0,$B47&gt;1.999,$J42&gt;499,$J42&lt;1000,$F47=0),$BK$3,0)</f>
        <v>0</v>
      </c>
      <c r="N43" s="151">
        <f ca="1">IF(AND($H44=25,$H47&gt;0,$B47&lt;2,$J42&gt;499,$J42&lt;1000,$F47=0),$BL$3,0)</f>
        <v>0</v>
      </c>
      <c r="O43" s="151">
        <f ca="1">IF(AND($H44=50,$H47&gt;0,$B47&lt;2,$J42&gt;499,$J42&lt;1000,$F47=0),$BM$3,0)</f>
        <v>0</v>
      </c>
      <c r="P43" s="151">
        <f ca="1">IF(AND($H44=100,$H47&gt;0,$J42&gt;499,$J42&lt;1000,$B47&lt;2,$F47=0),$BM$3+($BT$2*$B47),0)</f>
        <v>0</v>
      </c>
      <c r="Q43" s="152">
        <f ca="1">IF(AND($H44=25,$H47&gt;0,$B47&gt;1.999,$J42&gt;499,$J42&lt;1000,$F47=0),$BN$3,0)</f>
        <v>0</v>
      </c>
      <c r="R43" s="152">
        <f ca="1">IF(AND($H44=50,$H47&gt;0,$J42&gt;499,$J42&lt;1000,$B47&gt;1.999,$F47=0),$BO$3,0)</f>
        <v>0</v>
      </c>
      <c r="S43" s="152">
        <f ca="1">IF(AND($H44=100,$H47&gt;0,$J42&gt;499,$J42&lt;1000,$B47&gt;1.999,$F47=0),$BO$3+($BT$2*$B47),0)</f>
        <v>0</v>
      </c>
      <c r="T43" s="165">
        <f ca="1">IFERROR(IF(AND($H44=0,$H47=0,$J42/$G47&lt;1000,$J42/$G47&gt;499,$F47=1),$BP$3/$G47,0),0)</f>
        <v>0</v>
      </c>
      <c r="U43" s="151">
        <f ca="1">IFERROR(IF(AND($H44&gt;0,$H47=1,$J42/$G47&lt;1000,$J42/$G47&gt;499,$F47=1),$BQ$3/$G47,0),0)</f>
        <v>0</v>
      </c>
      <c r="V43" s="152">
        <f ca="1">IFERROR(IF(AND($H44&gt;0,$H47=2,$J42/$G47&lt;1000,$J42/$G47&gt;499,$F47=1),$BR$3/$G47,0),0)</f>
        <v>0</v>
      </c>
      <c r="W43" s="172">
        <f ca="1">IFERROR(IF(AND($H44&gt;0,$H47=3,$J42/$G47&lt;1000,$J42/$G47&gt;499,$F47=1),$BS$3/$G47,0),0)</f>
        <v>0</v>
      </c>
      <c r="X43" s="150">
        <f ca="1">IF(AND($H44=0,$H47=0,$B47&lt;2,$J43&gt;499,$J43&lt;1000,$F47=0),$BJ$3,0)</f>
        <v>0</v>
      </c>
      <c r="Y43" s="150">
        <f ca="1">IF(AND($H44=0,$H47=0,$B47&gt;1.999,$J43&gt;499,$J43&lt;1000,$F47=0),$BK$3,0)</f>
        <v>0</v>
      </c>
      <c r="Z43" s="151">
        <f ca="1">IF(AND($H44=25,$H47&gt;0,$B47&lt;2,$J43&gt;499,$J43&lt;1000,$F47=0),$BL$3,0)</f>
        <v>0</v>
      </c>
      <c r="AA43" s="151">
        <f ca="1">IF(AND($H44=50,$H47&gt;0,$B47&lt;2,$J43&gt;499,$J43&lt;1000,$F47=0),$BM$3,0)</f>
        <v>0</v>
      </c>
      <c r="AB43" s="151">
        <f ca="1">IF(AND($H44=100,$H47&gt;0,$J43&gt;499,$J43&lt;1000,$B47&lt;2,$F47=0),$BM$3+($BT$2*$B47),0)</f>
        <v>0</v>
      </c>
      <c r="AC43" s="152">
        <f ca="1">IF(AND($H44=25,$H47&gt;0,$B47&gt;1.999,$J43&gt;499,$J43&lt;1000,$F47=0),$BN$3,0)</f>
        <v>0</v>
      </c>
      <c r="AD43" s="152">
        <f ca="1">IF(AND($H44=50,$H47&gt;0,$J43&gt;499,$J43&lt;1000,$B47&gt;1.999,$F47=0),$BO$3,0)</f>
        <v>0</v>
      </c>
      <c r="AE43" s="152">
        <f ca="1">IF(AND($H44=50,$H47&gt;0,$B47&lt;2,$J43&gt;499,$J43&lt;1000,$F47=0),$BM$3,0)</f>
        <v>0</v>
      </c>
      <c r="AF43" s="165">
        <f ca="1">IF(AND($H44=100,$H47&gt;0,$J43&gt;499,$J43&lt;1000,$B47&lt;2,$F47=0),$BM$3+($BT$2*$B47),0)</f>
        <v>0</v>
      </c>
      <c r="AG43" s="151">
        <f ca="1">IF(AND($H44=25,$H47&gt;0,$B47&gt;1.999,$J43&gt;499,$J43&lt;1000,$F47=0),$BN$3,0)</f>
        <v>0</v>
      </c>
      <c r="AH43" s="152">
        <f ca="1">IF(AND($H44=50,$H47&gt;0,$J43&gt;499,$J43&lt;1000,$B47&gt;1.999,$F47=0),$BO$3,0)</f>
        <v>0</v>
      </c>
      <c r="AI43" s="172" t="e">
        <f ca="1">IF(AND($H44&gt;0,$H47=3,$G47&lt;&gt;0,$J43/$G47&gt;499,$J43/$G47&lt;1000,$F47=1),$BS$3/$G47,0)</f>
        <v>#DIV/0!</v>
      </c>
      <c r="AJ43" s="150">
        <f ca="1">IF(AND($H44=0,$H47=0,$B47&lt;2,$J44&gt;499,$J44&lt;1000,$F47=0),$BJ$3,0)</f>
        <v>0</v>
      </c>
      <c r="AK43" s="150">
        <f ca="1">IF(AND($H44=0,$H47=0,$B47&gt;1.999,$J44&gt;499,$J44&lt;1000,$F47=0),$BK$3,0)</f>
        <v>0</v>
      </c>
      <c r="AL43" s="151">
        <f ca="1">IF(AND($H44=25,$H47&gt;0,$B47&lt;2,$J44&gt;499,$J44&lt;1000,$F47=0),$BL$3,0)</f>
        <v>0</v>
      </c>
      <c r="AM43" s="151">
        <f ca="1">IF(AND($H44=50,$H47&gt;0,$B47&lt;2,$J44&gt;499,$J44&lt;1000,$F47=0),$BM$3,0)</f>
        <v>0</v>
      </c>
      <c r="AN43" s="151">
        <f ca="1">IF(AND($H44=100,$H47&gt;0,$J44&gt;499,$J44&lt;1000,$B47&lt;2,$F47=0),$BM$3+($BT$2*$B47),0)</f>
        <v>0</v>
      </c>
      <c r="AO43" s="152">
        <f ca="1">IF(AND($H44=25,$H47&gt;0,$B47&gt;1.999,$J44&gt;499,$J44&lt;1000,$F47=0),$BN$3,0)</f>
        <v>0</v>
      </c>
      <c r="AP43" s="152">
        <f ca="1">IF(AND($H44=50,$H47&gt;0,$J44&gt;499,$J44&lt;1000,$B47&gt;1.999,$F47=0),$BO$3,0)</f>
        <v>0</v>
      </c>
      <c r="AQ43" s="152">
        <f ca="1">IF(AND($H44=100,$H47&gt;0,$J44&gt;499,$J44&lt;1000,$B47&gt;1.999,$F47=0),$BO$3+($BT$2*$B47),0)</f>
        <v>0</v>
      </c>
      <c r="AR43" s="165" t="e">
        <f ca="1">IF(AND($H44=0,$H47=0,$G47&lt;&gt;0,$J44/$G47&lt;1000,$J44/$G47&gt;499,$F47=1),$BP$3/$G47,0)</f>
        <v>#DIV/0!</v>
      </c>
      <c r="AS43" s="151" t="e">
        <f ca="1">IF(AND($H44&gt;0,$H47=1,$G47&lt;&gt;0,$J44/$G47&lt;1000,$J44/$G47&gt;499,$F47=1),$BQ$3/$G47,0)</f>
        <v>#DIV/0!</v>
      </c>
      <c r="AT43" s="152" t="e">
        <f ca="1">IF(AND($H44&gt;0,$H47=2,$G47&lt;&gt;0,$J44/$G47&lt;1000,$J44/$G47&gt;499,$F47=1),$BR$3/$G47,0)</f>
        <v>#DIV/0!</v>
      </c>
      <c r="AU43" s="172" t="e">
        <f ca="1">IF(AND($H44&gt;0,$H47=3,$G47&lt;&gt;0,$J44/$G47&lt;1000,$J44/$G47&gt;499,$F47=1),$BS$3/$G47,0)</f>
        <v>#DIV/0!</v>
      </c>
      <c r="AV43" s="150">
        <f ca="1">IF(AND($H44=0,$H47=0,$B47&lt;2,$J45&gt;499,$J45&lt;1000,$F47=0),$BJ$3,0)</f>
        <v>0</v>
      </c>
      <c r="AW43" s="150">
        <f ca="1">IF(AND($H44=0,$H47=0,$B47&gt;1.999,$J45&gt;499,$J45&lt;1000,$F47=0),$BK$3,0)</f>
        <v>0</v>
      </c>
      <c r="AX43" s="151">
        <f ca="1">IF(AND($H44=25,$H47&gt;0,$B47&lt;2,$J45&gt;499,$J45&lt;1000,$F47=0),$BL$3,0)</f>
        <v>0</v>
      </c>
      <c r="AY43" s="151">
        <f ca="1">IF(AND($H44=50,$H47&gt;0,$B47&lt;2,$J45&gt;499,$J45&lt;1000,$F47=0),$BM$3,0)</f>
        <v>0</v>
      </c>
      <c r="AZ43" s="151">
        <f ca="1">IF(AND($H44=100,$H47&gt;0,$B47&lt;2,$J45&gt;499,$J45&lt;1000,$F47=0),$BM$3+($BT$2*$B47),0)</f>
        <v>0</v>
      </c>
      <c r="BA43" s="152">
        <f ca="1">IF(AND($H44=25,$H47&gt;0,$B47&gt;1.999,$J45&gt;499,$J45&lt;1000,$F47=0),$BN$3,0)</f>
        <v>0</v>
      </c>
      <c r="BB43" s="152">
        <f ca="1">IF(AND($H44=50,$H47&gt;0,$J45&gt;499,$J45&lt;1000,$B47&gt;1.999,$F47=0),$BO$3,0)</f>
        <v>0</v>
      </c>
      <c r="BC43" s="152">
        <f ca="1">IF(AND($H44=100,$H47&gt;0,$J45&gt;499,$J45&lt;1000,$B47&gt;1.999,$F47=0),$BO$3+($BT$2*$B47),0)</f>
        <v>0</v>
      </c>
      <c r="BD43" s="165">
        <f ca="1">IFERROR(IF(AND($H44=0,$H47=0,$G47&lt;&gt;0,$J45/$G47&lt;1000,$J45/$G47&gt;499,$F47=1),$BP$3/$G47,0),0)</f>
        <v>0</v>
      </c>
      <c r="BE43" s="151">
        <f ca="1">IFERROR(IF(AND($H44&gt;0,$H47=1,$G47&lt;&gt;0,$J45/$G47&lt;1000,$J45/$G47&gt;499,$F47=1),$BQ$3/$G47,0),0)</f>
        <v>0</v>
      </c>
      <c r="BF43" s="152">
        <f ca="1">IFERROR(IF(AND($H44&gt;0,$H47=2,$G47&lt;&gt;0,$J45/$G47&lt;1000,$J45/$G47&gt;499,$F47=1),$BR$3/$G47,0),0)</f>
        <v>0</v>
      </c>
      <c r="BG43" s="172">
        <f ca="1">IFERROR(IF(AND($H44&gt;0,$H47=3,$G47&lt;&gt;0,$J45/$G47&lt;1000,$J45/$G47&gt;499,$F47=1),$BS$3/$G47,0),0)</f>
        <v>0</v>
      </c>
      <c r="BI43" t="s">
        <v>1029</v>
      </c>
    </row>
    <row r="44" spans="1:61" ht="13.2">
      <c r="A44" s="260"/>
      <c r="B44" s="153">
        <f ca="1">IF(SUM(C44:G44)+I44=6,1,0)</f>
        <v>0</v>
      </c>
      <c r="C44" s="88">
        <f ca="1">IF(KLEJENIE!E47=1,1,IF(AND(C43&gt;267,C43&lt;2251),1,0))</f>
        <v>0</v>
      </c>
      <c r="D44" s="88">
        <f>IF((D43&gt;=50)*AND(D43&lt;1001),1,0)</f>
        <v>0</v>
      </c>
      <c r="E44" s="88">
        <f>IF((E43&gt;49)*AND(E43&lt;1401),1,0)</f>
        <v>0</v>
      </c>
      <c r="F44" s="88">
        <f ca="1">IF((F43&gt;599)*AND(F43&lt;2856),1,0)</f>
        <v>0</v>
      </c>
      <c r="G44" s="88" cm="1">
        <f t="array" aca="1" ref="G44" ca="1">IF(AND(G43&gt;399, IF(C47=1, G43&lt;1581, INDIRECT("'"&amp;Kalk!B24&amp;"'!L3")=1)),1,0)</f>
        <v>0</v>
      </c>
      <c r="H44" s="154">
        <f>Kalk!M43</f>
        <v>0</v>
      </c>
      <c r="I44" s="154">
        <f ca="1">IF(E43+((G43-E43)/2)&lt;1590,1,0)</f>
        <v>1</v>
      </c>
      <c r="J44" s="88">
        <f ca="1">IF(KLEJENIE!E$47=1,Kalk!AH25*2,Kalk!AH25)</f>
        <v>0</v>
      </c>
      <c r="K44" s="150">
        <f ca="1">IF(AND($C47=1,$J44&gt;0),IF($H44=100, SUM(AJ47:AU47)+($BT$2*$B47), SUM(AJ47:AU47)),IF(AND($B44=1,$J44&gt;0),SUM(AJ47:AU47) + IF(AND($H47&gt;1,$F47=0), $H47*0.05-0.05, 0),0))</f>
        <v>0</v>
      </c>
      <c r="L44" s="150">
        <f ca="1">IF(AND($H44=0,$H47=0,$B47&lt;2,$J42&gt;999,$J42&lt;3000,$F47=0),$BJ$4,0)</f>
        <v>0</v>
      </c>
      <c r="M44" s="150">
        <f ca="1">IF(AND($H44=0,$H47=0,$B47&gt;1.999,$J42&gt;999,$J42&lt;3000,$F47=0),$BK$4,0)</f>
        <v>0</v>
      </c>
      <c r="N44" s="151">
        <f ca="1">IF(AND($H44=25,$H47&gt;0,$B47&lt;2,$J42&gt;999,$J42&lt;3000,$F47=0),$BL$4,0)</f>
        <v>0</v>
      </c>
      <c r="O44" s="151">
        <f ca="1">IF(AND($H44=50,$H47&gt;0,$B47&lt;2,$J42&gt;999,$J42&lt;3000,$F47=0),$BM$4,0)</f>
        <v>0</v>
      </c>
      <c r="P44" s="151">
        <f ca="1">IF(AND($H44=100,$H47&gt;0,$B47&lt;2,$J42&gt;999,$J42&lt;3000,$F47=0),$BM$4+($BT$2*$B47),0)</f>
        <v>0</v>
      </c>
      <c r="Q44" s="152">
        <f ca="1">IF(AND($H44=25,$H47&gt;0,$B47&gt;1.999,$J42&gt;999,$J42&lt;3000,$F47=0),$BN$4,0)</f>
        <v>0</v>
      </c>
      <c r="R44" s="152">
        <f ca="1">IF(AND($H44=50,$H47&gt;0,$B47&gt;1.999,$J42&gt;999,$J42&lt;3000,$F47=0),$BO$4,0)</f>
        <v>0</v>
      </c>
      <c r="S44" s="152">
        <f ca="1">IF(AND($H44=100,$H47&gt;0,$J42&gt;999,$J42&lt;3000,$B47&gt;1.999,$F47=0),$BO$4+($BT$2*$B47),0)</f>
        <v>0</v>
      </c>
      <c r="T44" s="165">
        <f ca="1">IFERROR(IF(AND($H44=0,$H47=0,$J42/$G47&lt;3000,$J42/$G47&gt;999,$F47=1),$BP$4/$G47,0),0)</f>
        <v>0</v>
      </c>
      <c r="U44" s="151">
        <f ca="1">IFERROR(IF(AND($H44&gt;0,$H47=1,$J42/$G47&lt;3000,$J42/$G47&gt;999,$F47=1),$BQ$4/$G47,0),0)</f>
        <v>0</v>
      </c>
      <c r="V44" s="152">
        <f ca="1">IFERROR(IF(AND($H44&gt;0,$H47=2,$J42/$G47&lt;3000,$J42/$G47&gt;999,$F47=1),$BR$4/$G47,0),0)</f>
        <v>0</v>
      </c>
      <c r="W44" s="172">
        <f ca="1">IFERROR(IF(AND($H44&gt;0,$H47=3,$J42/$G47&lt;3000,$J42/$G47&gt;999,$F47=1),$BS$4/$G47,0),0)</f>
        <v>0</v>
      </c>
      <c r="X44" s="150">
        <f ca="1">IF(AND($H44=0,$H47=0,$B47&lt;2,$J43&gt;999,$J43&lt;3000,$F47=0),$BJ$4,0)</f>
        <v>0</v>
      </c>
      <c r="Y44" s="150">
        <f ca="1">IF(AND($H44=0,$H47=0,$B47&gt;1.999,$J43&gt;999,$J43&lt;3000,$F47=0),$BK$4,0)</f>
        <v>0</v>
      </c>
      <c r="Z44" s="151">
        <f ca="1">IF(AND($H44=25,$H47&gt;0,$B47&lt;2,$J43&gt;999,$J43&lt;3000,$F47=0),$BL$4,0)</f>
        <v>0</v>
      </c>
      <c r="AA44" s="151">
        <f ca="1">IF(AND($H44=50,$H47&gt;0,$B47&lt;2,$J43&gt;999,$J43&lt;3000,$F47=0),$BM$4,0)</f>
        <v>0</v>
      </c>
      <c r="AB44" s="151">
        <f ca="1">IF(AND($H44=100,$H47&gt;0,$B47&lt;2,$J43&gt;999,$J43&lt;3000,$F47=0),$BM$4+($BT$2*$B47),0)</f>
        <v>0</v>
      </c>
      <c r="AC44" s="152">
        <f ca="1">IF(AND($H44=25,$H47&gt;0,$B47&gt;1.999,$J43&gt;999,$J43&lt;3000,$F47=0),$BN$4,0)</f>
        <v>0</v>
      </c>
      <c r="AD44" s="152">
        <f ca="1">IF(AND($H44=50,$H47&gt;0,$B47&gt;1.999,$J43&gt;999,$J43&lt;3000,$F47=0),$BO$4,0)</f>
        <v>0</v>
      </c>
      <c r="AE44" s="152">
        <f ca="1">IF(AND($H44=50,$H47&gt;0,$B47&lt;2,$J43&gt;999,$J43&lt;3000,$F47=0),$BM$4,0)</f>
        <v>0</v>
      </c>
      <c r="AF44" s="165">
        <f ca="1">IF(AND($H44=100,$H47&gt;0,$B47&lt;2,$J43&gt;999,$J43&lt;3000,$F47=0),$BM$4+($BT$2*$B47),0)</f>
        <v>0</v>
      </c>
      <c r="AG44" s="151">
        <f ca="1">IF(AND($H44=25,$H47&gt;0,$B47&gt;1.999,$J43&gt;999,$J43&lt;3000,$F47=0),$BN$4,0)</f>
        <v>0</v>
      </c>
      <c r="AH44" s="152">
        <f ca="1">IF(AND($H44=50,$H47&gt;0,$B47&gt;1.999,$J43&gt;999,$J43&lt;3000,$F47=0),$BO$4,0)</f>
        <v>0</v>
      </c>
      <c r="AI44" s="172" t="e">
        <f ca="1">IF(AND($H44&gt;0,$H47=3,$G47&lt;&gt;0,$J43/$G47&gt;999,$J43/$G47&lt;3000,$F47=1),$BS$4/$G47,0)</f>
        <v>#DIV/0!</v>
      </c>
      <c r="AJ44" s="150">
        <f ca="1">IF(AND($H44=0,$H47=0,$B47&lt;2,$J44&gt;999,$J44&lt;3000,$F47=0),$BJ$4,0)</f>
        <v>0</v>
      </c>
      <c r="AK44" s="150">
        <f ca="1">IF(AND($H44=0,$H47=0,$B47&gt;1.999,$J44&gt;999,$J44&lt;3000,$F47=0),$BK$4,0)</f>
        <v>0</v>
      </c>
      <c r="AL44" s="151">
        <f ca="1">IF(AND($H44=25,$H47&gt;0,$B47&lt;2,$J44&gt;999,$J44&lt;3000,$F47=0),$BL$4,0)</f>
        <v>0</v>
      </c>
      <c r="AM44" s="151">
        <f ca="1">IF(AND($H44=50,$H47&gt;0,$B47&lt;2,$J44&gt;999,$J44&lt;3000,$F47=0),$BM$4,0)</f>
        <v>0</v>
      </c>
      <c r="AN44" s="151">
        <f ca="1">IF(AND($H44=100,$H47&gt;0,$B47&lt;2,$J44&gt;999,$J44&lt;3000,$F47=0),$BM$4+($BT$2*$B47),0)</f>
        <v>0</v>
      </c>
      <c r="AO44" s="152">
        <f ca="1">IF(AND($H44=25,$H47&gt;0,$B47&gt;1.999,$J44&gt;999,$J44&lt;3000,$F47=0),$BN$4,0)</f>
        <v>0</v>
      </c>
      <c r="AP44" s="152">
        <f ca="1">IF(AND($H44=50,$H47&gt;0,$B47&gt;1.999,$J44&gt;999,$J44&lt;3000,$F47=0),$BO$4,0)</f>
        <v>0</v>
      </c>
      <c r="AQ44" s="152">
        <f ca="1">IF(AND($H44=100,$H47&gt;0,$J44&gt;999,$J44&lt;3000,$B47&gt;1.999,$F47=0),$BO$4+($BT$2*$B47),0)</f>
        <v>0</v>
      </c>
      <c r="AR44" s="165" t="e">
        <f ca="1">IF(AND($H44=0,$H47=0,$G47&lt;&gt;0,$J44/$G47&lt;3000,$J44/$G47&gt;999,$F47=1),$BP$4/$G47,0)</f>
        <v>#DIV/0!</v>
      </c>
      <c r="AS44" s="151" t="e">
        <f ca="1">IF(AND($H44&gt;0,$H47=1,$G47&lt;&gt;0,$J44/$G47&lt;3000,$J44/$G47&gt;999,$F47=1),$BQ$4/$G47,0)</f>
        <v>#DIV/0!</v>
      </c>
      <c r="AT44" s="152" t="e">
        <f ca="1">IF(AND($H44&gt;0,$H47=2,$G47&lt;&gt;0,$J44/$G47&lt;3000,$J44/$G47&gt;999,$F47=1),$BR$4/$G47,0)</f>
        <v>#DIV/0!</v>
      </c>
      <c r="AU44" s="172" t="e">
        <f ca="1">IF(AND($H44&gt;0,$H47=3,$G47&lt;&gt;0,$J44/$G47&lt;3000,$J44/$G47&gt;999,$F47=1),$BS$4/$G47,0)</f>
        <v>#DIV/0!</v>
      </c>
      <c r="AV44" s="150">
        <f ca="1">IF(AND($H44=0,$H47=0,$B47&lt;2,$J45&gt;999,$J45&lt;3000,$F47=0),$BJ$4,0)</f>
        <v>0</v>
      </c>
      <c r="AW44" s="150">
        <f ca="1">IF(AND($H44=0,$H47=0,$B47&gt;1.999,$J45&gt;999,$J45&lt;3000,$F47=0),$BK$4,0)</f>
        <v>0</v>
      </c>
      <c r="AX44" s="151">
        <f ca="1">IF(AND($H44=25,$H47&gt;0,$B47&lt;2,$J45&gt;999,$J45&lt;3000,$F47=0),$BL$4,0)</f>
        <v>0</v>
      </c>
      <c r="AY44" s="151">
        <f ca="1">IF(AND($H44=50,$H47&gt;0,$B47&lt;2,$J45&gt;999,$J45&lt;3000,$F47=0),$BM$4,0)</f>
        <v>0</v>
      </c>
      <c r="AZ44" s="151">
        <f ca="1">IF(AND($H44=100,$H47&gt;0,$B47&lt;2,$J45&gt;999,$J45&lt;3000,$F47=0),$BM$4+($BT$2*$B47),0)</f>
        <v>0</v>
      </c>
      <c r="BA44" s="152">
        <f ca="1">IF(AND($H44=25,$H47&gt;0,$B47&gt;1.999,$J45&gt;999,$J45&lt;3000,$F47=0),$BN$4,0)</f>
        <v>0</v>
      </c>
      <c r="BB44" s="152">
        <f ca="1">IF(AND($H44=50,$H47&gt;0,$B47&gt;1.999,$J45&gt;999,$J45&lt;3000,$F47=0),$BO$4,0)</f>
        <v>0</v>
      </c>
      <c r="BC44" s="152">
        <f ca="1">IF(AND($H44=100,$H47&gt;0,$J45&gt;999,$J45&lt;3000,$B47&gt;1.999,$F47=0),$BO$4+($BT$2*$B47),0)</f>
        <v>0</v>
      </c>
      <c r="BD44" s="165">
        <f ca="1">IFERROR(IF(AND($H44=0,$H47=0,$G47&lt;&gt;0,$J45/$G47&lt;3000,$J45/$G47&gt;999,$F47=1),$BP$4/$G47,0),0)</f>
        <v>0</v>
      </c>
      <c r="BE44" s="151">
        <f ca="1">IFERROR(IF(AND($H44&gt;0,$H47=1,$G47&lt;&gt;0,$J45/$G47&lt;3000,$J45/$G47&gt;999,$F47=1),$BQ$4/$G47,0),0)</f>
        <v>0</v>
      </c>
      <c r="BF44" s="152">
        <f ca="1">IFERROR(IF(AND($H44&gt;0,$H47=2,$G47&lt;&gt;0,$J45/$G47&lt;3000,$J45/$G47&gt;999,$F47=1),$BR$4/$G47,0),0)</f>
        <v>0</v>
      </c>
      <c r="BG44" s="172">
        <f ca="1">IFERROR(IF(AND($H44&gt;0,$H47=3,$G47&lt;&gt;0,$J45/$G47&lt;3000,$J45/$G47&gt;999,$F47=1),$BS$4/$G47,0),0)</f>
        <v>0</v>
      </c>
      <c r="BI44" t="s">
        <v>1030</v>
      </c>
    </row>
    <row r="45" spans="1:61" ht="23.85" customHeight="1">
      <c r="A45" s="260"/>
      <c r="B45" s="275" t="s">
        <v>968</v>
      </c>
      <c r="C45" s="274" t="s">
        <v>986</v>
      </c>
      <c r="D45" s="268" t="s">
        <v>987</v>
      </c>
      <c r="E45" s="268"/>
      <c r="F45" s="275" t="s">
        <v>988</v>
      </c>
      <c r="G45" s="149" t="s">
        <v>989</v>
      </c>
      <c r="H45" s="269" t="s">
        <v>971</v>
      </c>
      <c r="I45" s="149"/>
      <c r="J45" s="88">
        <f ca="1">IF(KLEJENIE!E$47=1,Kalk!AH26*2,Kalk!AH26)</f>
        <v>0</v>
      </c>
      <c r="K45" s="150">
        <f ca="1">IF(AND($C47=1,$J45&gt;0),IF($H44=100, SUM(AV47:BG47)+($BT$2*$B47), SUM(AV47:BG47)),IF(AND($B44=1,$J45&gt;0),SUM(AV47:BG47) + IF(AND($H47&gt;1,$F47=0), $H47*0.05-0.05, 0),0))</f>
        <v>0</v>
      </c>
      <c r="L45" s="150">
        <f ca="1">IF(AND($H44=0,$H47=0,$B47&lt;2,$J42&gt;2999,$F47=0),$BJ$5,0)</f>
        <v>0</v>
      </c>
      <c r="M45" s="150">
        <f ca="1">IF(AND($H44=0,$H47=0,$B47&gt;1.999,$J42&gt;2999,$F47=0),$BK$5,0)</f>
        <v>0</v>
      </c>
      <c r="N45" s="151">
        <f ca="1">IF(AND($H44=25,$H47&gt;0,$B47&lt;2,$J42&gt;2999,$F47=0),$BL$5,0)</f>
        <v>0</v>
      </c>
      <c r="O45" s="151">
        <f ca="1">IF(AND($H44=50,$H47&gt;0,$B47&lt;2,$J42&gt;2999,$F47=0),$BM$5,0)</f>
        <v>0</v>
      </c>
      <c r="P45" s="151">
        <f ca="1">IF(AND($H44=100,$H47&gt;0,$J42&gt;2999,$B47&lt;2,$F47=0),$BM$5+($BT$2*$B47),0)</f>
        <v>0</v>
      </c>
      <c r="Q45" s="152">
        <f ca="1">IF(AND($H44=25,$H47&gt;0,$B47&gt;1.999,$J42&gt;2999,$F47=0),$BN$5,0)</f>
        <v>0</v>
      </c>
      <c r="R45" s="152">
        <f ca="1">IF(AND($H44=50,$H47&gt;0,$B47&gt;1.999,$J42&gt;2999,$F47=0),$BO$5,0)</f>
        <v>0</v>
      </c>
      <c r="S45" s="152">
        <f ca="1">IF(AND($H44=100,$H47&gt;0,$J42&gt;2999,$B47&gt;1.999,$F47=0),$BO$5+($BT$2*$B47),0)</f>
        <v>0</v>
      </c>
      <c r="T45" s="165">
        <f ca="1">IFERROR(IF(AND($H44=0,$H47=0,$J42/$G47&gt;2999,$F47=1),$BP$5/$G47,0),0)</f>
        <v>0</v>
      </c>
      <c r="U45" s="151">
        <f ca="1">IFERROR(IF(AND($H44&gt;0,$H47=1,$J42/$G47&gt;2999,$F47=1),$BQ$5/$G47,0),0)</f>
        <v>0</v>
      </c>
      <c r="V45" s="152">
        <f ca="1">IFERROR(IF(AND($H44&gt;0,$H47=2,$J42/$G47&gt;2999,$F47=1),$BR$5/$G47,0),0)</f>
        <v>0</v>
      </c>
      <c r="W45" s="172">
        <f ca="1">IFERROR(IF(AND($H44&gt;0,$H47=3,$J42/$G47&gt;2999,$F47=1),$BS$5/$G47,0),0)</f>
        <v>0</v>
      </c>
      <c r="X45" s="150">
        <f ca="1">IF(AND($H44=0,$H47=0,$B47&lt;2,$J43&gt;2999,$F47=0),$BJ$5,0)</f>
        <v>0</v>
      </c>
      <c r="Y45" s="150">
        <f ca="1">IF(AND($H44=0,$H47=0,$B47&gt;1.999,$J43&gt;2999,$F47=0),$BK$5,0)</f>
        <v>0</v>
      </c>
      <c r="Z45" s="151">
        <f ca="1">IF(AND($H44=25,$H47&gt;0,$B47&lt;2,$J43&gt;2999,$F47=0),$BL$5,0)</f>
        <v>0</v>
      </c>
      <c r="AA45" s="151">
        <f ca="1">IF(AND($H44=50,$H47&gt;0,$B47&lt;2,$J43&gt;2999,$F47=0),$BM$5,0)</f>
        <v>0</v>
      </c>
      <c r="AB45" s="151">
        <f ca="1">IF(AND($H44=100,$H47&gt;0,$J43&gt;2999,$B47&lt;2,$F47=0),$BM$5+($BT$2*$B47),0)</f>
        <v>0</v>
      </c>
      <c r="AC45" s="152">
        <f ca="1">IF(AND($H44=25,$H47&gt;0,$B47&gt;1.999,$J43&gt;2999,$F47=0),$BN$5,0)</f>
        <v>0</v>
      </c>
      <c r="AD45" s="152">
        <f ca="1">IF(AND($H44=50,$H47&gt;0,$B47&gt;1.999,$J43&gt;2999,$F47=0),$BO$5,0)</f>
        <v>0</v>
      </c>
      <c r="AE45" s="152">
        <f ca="1">IF(AND($H44=50,$H47&gt;0,$B47&lt;2,$J43&gt;2999,$F47=0),$BM$5,0)</f>
        <v>0</v>
      </c>
      <c r="AF45" s="165">
        <f ca="1">IF(AND($H44=100,$H47&gt;0,$J43&gt;2999,$B47&lt;2,$F47=0),$BM$5+($BT$2*$B47),0)</f>
        <v>0</v>
      </c>
      <c r="AG45" s="151">
        <f ca="1">IF(AND($H44=25,$H47&gt;0,$B47&gt;1.999,$J43&gt;2999,$F47=0),$BN$5,0)</f>
        <v>0</v>
      </c>
      <c r="AH45" s="152">
        <f ca="1">IF(AND($H44=50,$H47&gt;0,$B47&gt;1.999,$J43&gt;2999,$F47=0),$BO$5,0)</f>
        <v>0</v>
      </c>
      <c r="AI45" s="172" t="e">
        <f ca="1">IF(AND($H44&gt;0,$H47=3,$G47&lt;&gt;0,$J43/$G47&gt;2999,$F47=1),$BS$5/$G47,0)</f>
        <v>#DIV/0!</v>
      </c>
      <c r="AJ45" s="150">
        <f ca="1">IF(AND($H44=0,$H47=0,$B47&lt;2,$J44&gt;2999,$F47=0),$BJ$5,0)</f>
        <v>0</v>
      </c>
      <c r="AK45" s="150">
        <f ca="1">IF(AND($H44=0,$H47=0,$B47&gt;1.999,$J44&gt;2999,$F47=0),$BK$5,0)</f>
        <v>0</v>
      </c>
      <c r="AL45" s="151">
        <f ca="1">IF(AND($H44=25,$H47&gt;0,$B47&lt;2,$J44&gt;2999,$F47=0),$BL$5,0)</f>
        <v>0</v>
      </c>
      <c r="AM45" s="151">
        <f ca="1">IF(AND($H44=50,$H47&gt;0,$B47&lt;2,$J44&gt;2999,$F47=0),$BM$5,0)</f>
        <v>0</v>
      </c>
      <c r="AN45" s="151">
        <f ca="1">IF(AND($H44=100,$H47&gt;0,$J44&gt;2999,$B47&lt;2,$F47=0),$BM$5+($BT$2*$B47),0)</f>
        <v>0</v>
      </c>
      <c r="AO45" s="152">
        <f ca="1">IF(AND($H44=25,$H47&gt;0,$B47&gt;1.999,$J44&gt;2999,$F47=0),$BN$5,0)</f>
        <v>0</v>
      </c>
      <c r="AP45" s="152">
        <f ca="1">IF(AND($H44=50,$H47&gt;0,$B47&gt;1.999,$J44&gt;2999,$F47=0),$BO$5,0)</f>
        <v>0</v>
      </c>
      <c r="AQ45" s="152">
        <f ca="1">IF(AND($H44=100,$H47&gt;0,$J44&gt;2999,$B47&gt;1.999,$F47=0),$BO$5+($BT$2*$B47),0)</f>
        <v>0</v>
      </c>
      <c r="AR45" s="165" t="e">
        <f ca="1">IF(AND($H44=0,$H47=0,$G47&lt;&gt;0,$J44/$G47&gt;2999,$F47=1),$BP$5/$G47,0)</f>
        <v>#DIV/0!</v>
      </c>
      <c r="AS45" s="151" t="e">
        <f ca="1">IF(AND($H44&gt;0,$H47=1,$G47&lt;&gt;0,$J44/$G47&gt;2999,$F47=1),$BQ$5/$G47,0)</f>
        <v>#DIV/0!</v>
      </c>
      <c r="AT45" s="152" t="e">
        <f ca="1">IF(AND($H44&gt;0,$H47=2,$G47&lt;&gt;0,$J44/$G47&gt;2999,$F47=1),$BR$5/$G47,0)</f>
        <v>#DIV/0!</v>
      </c>
      <c r="AU45" s="172" t="e">
        <f ca="1">IF(AND($H44&gt;0,$H47=3,$G47&lt;&gt;0,$J44/$G47&gt;2999,$F47=1),$BS$5/$G47,0)</f>
        <v>#DIV/0!</v>
      </c>
      <c r="AV45" s="150">
        <f ca="1">IF(AND($H44=0,$H47=0,$B47&lt;2,$J45&gt;2999,$F47=0),$BJ$5,0)</f>
        <v>0</v>
      </c>
      <c r="AW45" s="150">
        <f ca="1">IF(AND($H44=0,$H47=0,$B47&gt;1.999,$J45&gt;2999,$F47=0),$BK$5,0)</f>
        <v>0</v>
      </c>
      <c r="AX45" s="151">
        <f ca="1">IF(AND($H44=25,$H47&gt;0,$B47&lt;2,$J45&gt;2999,$F47=0),$BL$5,0)</f>
        <v>0</v>
      </c>
      <c r="AY45" s="151">
        <f ca="1">IF(AND($H44=50,$H47&gt;0,$B47&lt;2,$J45&gt;2999,$F47=0),$BM$5,0)</f>
        <v>0</v>
      </c>
      <c r="AZ45" s="151">
        <f ca="1">IF(AND($H44=100,$H47&gt;0,$B47&lt;2,$J45&gt;2999,$F47=0),$BM$5+($BT$2*$B47),0)</f>
        <v>0</v>
      </c>
      <c r="BA45" s="152">
        <f ca="1">IF(AND($H44=25,$H47&gt;0,$B47&gt;1.999,$J45&gt;2999,$F47=0),$BN$5,0)</f>
        <v>0</v>
      </c>
      <c r="BB45" s="152">
        <f ca="1">IF(AND($H44=50,$H47&gt;0,$B47&gt;1.999,$J45&gt;2999,$F47=0),$BO$5,0)</f>
        <v>0</v>
      </c>
      <c r="BC45" s="152">
        <f ca="1">IF(AND($H44=100,$H47&gt;0,$J45&gt;2999,$B47&gt;1.999,$F47=0),$BO$5+($BT$2*$B47),0)</f>
        <v>0</v>
      </c>
      <c r="BD45" s="165">
        <f ca="1">IFERROR(IF(AND($H44=0,$H47=0,$G47&lt;&gt;0,$J45/$G47&gt;2999,$F47=1),$BP$5/$G47,0),0)</f>
        <v>0</v>
      </c>
      <c r="BE45" s="151">
        <f ca="1">IFERROR(IF(AND($H44&gt;0,$H47=1,$G47&lt;&gt;0,$J45/$G47&gt;2999,$F47=1),$BQ$5/$G47,0),0)</f>
        <v>0</v>
      </c>
      <c r="BF45" s="152">
        <f ca="1">IFERROR(IF(AND($H44&gt;0,$H47=2,$G47&lt;&gt;0,$J45/$G47&gt;2999,$F47=1),$BR$5/$G47,0),0)</f>
        <v>0</v>
      </c>
      <c r="BG45" s="172">
        <f ca="1">IFERROR(IF(AND($H44&gt;0,$H47=3,$G47&lt;&gt;0,$J45/$G47&gt;2999,$F47=1),$BS$5/$G47,0),0)</f>
        <v>0</v>
      </c>
      <c r="BI45" t="s">
        <v>1031</v>
      </c>
    </row>
    <row r="46" spans="1:61" ht="13.35" customHeight="1">
      <c r="A46" s="260"/>
      <c r="B46" s="275"/>
      <c r="C46" s="274"/>
      <c r="D46" s="147"/>
      <c r="E46" s="147"/>
      <c r="F46" s="275"/>
      <c r="G46" s="178"/>
      <c r="H46" s="269"/>
      <c r="I46" s="178"/>
      <c r="J46" s="6"/>
      <c r="K46" s="157"/>
      <c r="L46" s="162"/>
      <c r="M46" s="162"/>
      <c r="N46" s="272" t="s">
        <v>975</v>
      </c>
      <c r="O46" s="272"/>
      <c r="P46" s="272"/>
      <c r="Q46" s="273" t="s">
        <v>976</v>
      </c>
      <c r="R46" s="273"/>
      <c r="S46" s="273"/>
      <c r="T46" s="271" t="s">
        <v>992</v>
      </c>
      <c r="U46" s="271"/>
      <c r="V46" s="271"/>
      <c r="W46" s="271"/>
      <c r="X46" s="162"/>
      <c r="Y46" s="162"/>
      <c r="Z46" s="272" t="s">
        <v>975</v>
      </c>
      <c r="AA46" s="272"/>
      <c r="AB46" s="272"/>
      <c r="AC46" s="273" t="s">
        <v>976</v>
      </c>
      <c r="AD46" s="273"/>
      <c r="AE46" s="273"/>
      <c r="AF46" s="271" t="s">
        <v>992</v>
      </c>
      <c r="AG46" s="271"/>
      <c r="AH46" s="271"/>
      <c r="AI46" s="271"/>
      <c r="AJ46" s="162"/>
      <c r="AK46" s="162"/>
      <c r="AL46" s="272" t="s">
        <v>975</v>
      </c>
      <c r="AM46" s="272"/>
      <c r="AN46" s="272"/>
      <c r="AO46" s="273" t="s">
        <v>976</v>
      </c>
      <c r="AP46" s="273"/>
      <c r="AQ46" s="273"/>
      <c r="AR46" s="271" t="s">
        <v>992</v>
      </c>
      <c r="AS46" s="271"/>
      <c r="AT46" s="271"/>
      <c r="AU46" s="271"/>
      <c r="AV46" s="162"/>
      <c r="AW46" s="162"/>
      <c r="AX46" s="272" t="s">
        <v>975</v>
      </c>
      <c r="AY46" s="272"/>
      <c r="AZ46" s="272"/>
      <c r="BA46" s="273" t="s">
        <v>976</v>
      </c>
      <c r="BB46" s="273"/>
      <c r="BC46" s="273"/>
      <c r="BD46" s="271" t="s">
        <v>992</v>
      </c>
      <c r="BE46" s="271"/>
      <c r="BF46" s="271"/>
      <c r="BG46" s="271"/>
      <c r="BI46" t="s">
        <v>1032</v>
      </c>
    </row>
    <row r="47" spans="1:61" ht="13.2">
      <c r="A47" s="260"/>
      <c r="B47" s="158">
        <f ca="1">IF(KLEJENIE!E47=1,Kalk!J43/2,Kalk!J43)</f>
        <v>0</v>
      </c>
      <c r="C47" s="153">
        <f ca="1">IF(SUM(D47:F47)=3,1,0)</f>
        <v>0</v>
      </c>
      <c r="D47" s="88">
        <f ca="1">IF((F43&gt;599)*AND(F43&lt;2851),1,0)</f>
        <v>0</v>
      </c>
      <c r="E47" s="88">
        <f ca="1">IF((G43&gt;399)*AND(G43&lt;1566),1,0)</f>
        <v>0</v>
      </c>
      <c r="F47" s="154">
        <f>IF(Kalk!B43="Die cut",1,0)</f>
        <v>0</v>
      </c>
      <c r="G47" s="154">
        <f>Kalk!J45*Kalk!J46</f>
        <v>0</v>
      </c>
      <c r="H47" s="154">
        <f>Kalk!W43</f>
        <v>0</v>
      </c>
      <c r="I47" s="154">
        <f>IF(OR(I46="F0200",I46="F0201",I46="F0202",I46="F0203",I46="F0201-F0203",I46="F0200-F0203",I46="F0501",I46="F0452"),1,0)</f>
        <v>0</v>
      </c>
      <c r="J47" s="160"/>
      <c r="K47" s="161"/>
      <c r="L47" s="88">
        <f t="shared" ref="L47:BG47" ca="1" si="5">SUM(L42:L46)</f>
        <v>0</v>
      </c>
      <c r="M47" s="88">
        <f t="shared" ca="1" si="5"/>
        <v>0</v>
      </c>
      <c r="N47" s="88">
        <f t="shared" ca="1" si="5"/>
        <v>0</v>
      </c>
      <c r="O47" s="88">
        <f t="shared" ca="1" si="5"/>
        <v>0</v>
      </c>
      <c r="P47" s="88">
        <f t="shared" ca="1" si="5"/>
        <v>0</v>
      </c>
      <c r="Q47" s="88">
        <f t="shared" ca="1" si="5"/>
        <v>0</v>
      </c>
      <c r="R47" s="88">
        <f t="shared" ca="1" si="5"/>
        <v>0</v>
      </c>
      <c r="S47" s="88">
        <f t="shared" ca="1" si="5"/>
        <v>0</v>
      </c>
      <c r="T47" s="88">
        <f t="shared" ca="1" si="5"/>
        <v>0</v>
      </c>
      <c r="U47" s="88">
        <f t="shared" ca="1" si="5"/>
        <v>0</v>
      </c>
      <c r="V47" s="88">
        <f t="shared" ca="1" si="5"/>
        <v>0</v>
      </c>
      <c r="W47" s="88">
        <f t="shared" ca="1" si="5"/>
        <v>0</v>
      </c>
      <c r="X47" s="88">
        <f t="shared" ca="1" si="5"/>
        <v>0</v>
      </c>
      <c r="Y47" s="88">
        <f t="shared" ca="1" si="5"/>
        <v>0</v>
      </c>
      <c r="Z47" s="88">
        <f t="shared" ca="1" si="5"/>
        <v>0</v>
      </c>
      <c r="AA47" s="88">
        <f t="shared" ca="1" si="5"/>
        <v>0</v>
      </c>
      <c r="AB47" s="88">
        <f t="shared" ca="1" si="5"/>
        <v>0</v>
      </c>
      <c r="AC47" s="88">
        <f t="shared" ca="1" si="5"/>
        <v>0</v>
      </c>
      <c r="AD47" s="88">
        <f t="shared" ca="1" si="5"/>
        <v>0</v>
      </c>
      <c r="AE47" s="88">
        <f t="shared" ca="1" si="5"/>
        <v>0</v>
      </c>
      <c r="AF47" s="88">
        <f t="shared" ca="1" si="5"/>
        <v>0</v>
      </c>
      <c r="AG47" s="88">
        <f t="shared" ca="1" si="5"/>
        <v>0</v>
      </c>
      <c r="AH47" s="88">
        <f t="shared" ca="1" si="5"/>
        <v>0</v>
      </c>
      <c r="AI47" s="88" t="e">
        <f t="shared" ca="1" si="5"/>
        <v>#DIV/0!</v>
      </c>
      <c r="AJ47" s="88">
        <f t="shared" ca="1" si="5"/>
        <v>0</v>
      </c>
      <c r="AK47" s="88">
        <f t="shared" ca="1" si="5"/>
        <v>0</v>
      </c>
      <c r="AL47" s="88">
        <f t="shared" ca="1" si="5"/>
        <v>0</v>
      </c>
      <c r="AM47" s="88">
        <f t="shared" ca="1" si="5"/>
        <v>0</v>
      </c>
      <c r="AN47" s="88">
        <f t="shared" ca="1" si="5"/>
        <v>0</v>
      </c>
      <c r="AO47" s="88">
        <f t="shared" ca="1" si="5"/>
        <v>0</v>
      </c>
      <c r="AP47" s="88">
        <f t="shared" ca="1" si="5"/>
        <v>0</v>
      </c>
      <c r="AQ47" s="88">
        <f t="shared" ca="1" si="5"/>
        <v>0</v>
      </c>
      <c r="AR47" s="88" t="e">
        <f t="shared" ca="1" si="5"/>
        <v>#DIV/0!</v>
      </c>
      <c r="AS47" s="88" t="e">
        <f t="shared" ca="1" si="5"/>
        <v>#DIV/0!</v>
      </c>
      <c r="AT47" s="88" t="e">
        <f t="shared" ca="1" si="5"/>
        <v>#DIV/0!</v>
      </c>
      <c r="AU47" s="88" t="e">
        <f t="shared" ca="1" si="5"/>
        <v>#DIV/0!</v>
      </c>
      <c r="AV47" s="88">
        <f t="shared" ca="1" si="5"/>
        <v>0</v>
      </c>
      <c r="AW47" s="88">
        <f t="shared" ca="1" si="5"/>
        <v>0</v>
      </c>
      <c r="AX47" s="88">
        <f t="shared" ca="1" si="5"/>
        <v>0</v>
      </c>
      <c r="AY47" s="88">
        <f t="shared" ca="1" si="5"/>
        <v>0</v>
      </c>
      <c r="AZ47" s="88">
        <f t="shared" ca="1" si="5"/>
        <v>0</v>
      </c>
      <c r="BA47" s="88">
        <f t="shared" ca="1" si="5"/>
        <v>0</v>
      </c>
      <c r="BB47" s="88">
        <f t="shared" ca="1" si="5"/>
        <v>0</v>
      </c>
      <c r="BC47" s="88">
        <f t="shared" ca="1" si="5"/>
        <v>0</v>
      </c>
      <c r="BD47" s="88">
        <f t="shared" ca="1" si="5"/>
        <v>0</v>
      </c>
      <c r="BE47" s="88">
        <f t="shared" ca="1" si="5"/>
        <v>0</v>
      </c>
      <c r="BF47" s="88">
        <f t="shared" ca="1" si="5"/>
        <v>0</v>
      </c>
      <c r="BG47" s="88">
        <f t="shared" ca="1" si="5"/>
        <v>0</v>
      </c>
      <c r="BI47" t="s">
        <v>1033</v>
      </c>
    </row>
    <row r="48" spans="1:61" ht="13.2">
      <c r="A48" s="260"/>
      <c r="B48" s="123"/>
      <c r="C48" s="123"/>
      <c r="D48" s="123"/>
      <c r="E48" s="159"/>
      <c r="F48" s="6"/>
      <c r="G48" s="6"/>
      <c r="H48" s="6"/>
      <c r="I48" s="6"/>
      <c r="J48" s="166"/>
    </row>
    <row r="49" spans="1:61" ht="13.2">
      <c r="B49" s="167"/>
      <c r="C49" s="167"/>
      <c r="D49" s="167"/>
      <c r="E49" s="167"/>
      <c r="F49" s="167"/>
      <c r="G49" s="167"/>
      <c r="H49" s="167"/>
      <c r="I49" s="167"/>
      <c r="J49" s="88" t="s">
        <v>83</v>
      </c>
      <c r="K49" s="110" t="s">
        <v>956</v>
      </c>
      <c r="L49" s="110" t="s">
        <v>975</v>
      </c>
      <c r="M49" s="110" t="s">
        <v>976</v>
      </c>
      <c r="N49" s="116" t="s">
        <v>958</v>
      </c>
      <c r="O49" s="116" t="s">
        <v>959</v>
      </c>
      <c r="P49" s="116" t="s">
        <v>960</v>
      </c>
      <c r="Q49" s="146" t="s">
        <v>958</v>
      </c>
      <c r="R49" s="146" t="s">
        <v>959</v>
      </c>
      <c r="S49" s="146" t="s">
        <v>960</v>
      </c>
      <c r="T49" s="88" t="s">
        <v>977</v>
      </c>
      <c r="U49" s="108" t="s">
        <v>978</v>
      </c>
      <c r="V49" s="170" t="s">
        <v>979</v>
      </c>
      <c r="W49" s="171" t="s">
        <v>980</v>
      </c>
      <c r="X49" s="110" t="s">
        <v>975</v>
      </c>
      <c r="Y49" s="110" t="s">
        <v>976</v>
      </c>
      <c r="Z49" s="116" t="s">
        <v>958</v>
      </c>
      <c r="AA49" s="116" t="s">
        <v>959</v>
      </c>
      <c r="AB49" s="116" t="s">
        <v>960</v>
      </c>
      <c r="AC49" s="146" t="s">
        <v>958</v>
      </c>
      <c r="AD49" s="146" t="s">
        <v>959</v>
      </c>
      <c r="AE49" s="146" t="s">
        <v>960</v>
      </c>
      <c r="AF49" s="88" t="s">
        <v>977</v>
      </c>
      <c r="AG49" s="108" t="s">
        <v>978</v>
      </c>
      <c r="AH49" s="170" t="s">
        <v>979</v>
      </c>
      <c r="AI49" s="171" t="s">
        <v>980</v>
      </c>
      <c r="AJ49" s="110" t="s">
        <v>975</v>
      </c>
      <c r="AK49" s="110" t="s">
        <v>976</v>
      </c>
      <c r="AL49" s="116" t="s">
        <v>958</v>
      </c>
      <c r="AM49" s="116" t="s">
        <v>959</v>
      </c>
      <c r="AN49" s="116" t="s">
        <v>960</v>
      </c>
      <c r="AO49" s="146" t="s">
        <v>958</v>
      </c>
      <c r="AP49" s="146" t="s">
        <v>959</v>
      </c>
      <c r="AQ49" s="146" t="s">
        <v>960</v>
      </c>
      <c r="AR49" s="88" t="s">
        <v>977</v>
      </c>
      <c r="AS49" s="108" t="s">
        <v>978</v>
      </c>
      <c r="AT49" s="170" t="s">
        <v>979</v>
      </c>
      <c r="AU49" s="171" t="s">
        <v>980</v>
      </c>
      <c r="AV49" s="110" t="s">
        <v>975</v>
      </c>
      <c r="AW49" s="110" t="s">
        <v>976</v>
      </c>
      <c r="AX49" s="116" t="s">
        <v>958</v>
      </c>
      <c r="AY49" s="116" t="s">
        <v>959</v>
      </c>
      <c r="AZ49" s="116" t="s">
        <v>960</v>
      </c>
      <c r="BA49" s="146" t="s">
        <v>958</v>
      </c>
      <c r="BB49" s="146" t="s">
        <v>959</v>
      </c>
      <c r="BC49" s="146" t="s">
        <v>960</v>
      </c>
      <c r="BD49" s="88" t="s">
        <v>977</v>
      </c>
      <c r="BE49" s="108" t="s">
        <v>978</v>
      </c>
      <c r="BF49" s="170" t="s">
        <v>979</v>
      </c>
      <c r="BG49" s="171" t="s">
        <v>980</v>
      </c>
      <c r="BI49" t="s">
        <v>1034</v>
      </c>
    </row>
    <row r="50" spans="1:61" ht="12.9" customHeight="1">
      <c r="A50" s="260">
        <v>7</v>
      </c>
      <c r="B50" s="274" t="s">
        <v>982</v>
      </c>
      <c r="C50" s="147" t="s">
        <v>56</v>
      </c>
      <c r="D50" s="147" t="s">
        <v>57</v>
      </c>
      <c r="E50" s="147" t="s">
        <v>66</v>
      </c>
      <c r="F50" s="268" t="s">
        <v>963</v>
      </c>
      <c r="G50" s="268"/>
      <c r="H50" s="269" t="s">
        <v>965</v>
      </c>
      <c r="I50" s="269" t="s">
        <v>970</v>
      </c>
      <c r="J50" s="88">
        <f ca="1">IF(KLEJENIE!E$55=1,Kalk!AH27*2,Kalk!AH27)</f>
        <v>0</v>
      </c>
      <c r="K50" s="150">
        <f ca="1">IF(AND($C55=1,$J50&gt;0),IF($H52=100, SUM(L55:W55)+($BT$2*$B55), SUM(L55:W55)),IF(AND($B52=1,$J50&gt;0),SUM(L55:W55)+IF(AND($H55&gt;1,$F55=0), $H55*0.05-0.05, 0),0))</f>
        <v>0</v>
      </c>
      <c r="L50" s="150">
        <f ca="1">IF(AND($H52=0,$H55=0,$J50&lt;500,$J50&gt;0,$B55&lt;2,$F55=0),BJ50/$J50,0)</f>
        <v>0</v>
      </c>
      <c r="M50" s="150">
        <f ca="1">IF(AND($H52=0,$H55=0,$J50&lt;500,$J50&gt;0,$B55&gt;1.999,$F55=0),BK50/$J50,0)</f>
        <v>0</v>
      </c>
      <c r="N50" s="151">
        <f ca="1">IF(AND($H55&gt;0,$H52=25,$B55&lt;2,$J50&lt;500,$F55=0),BV53/$J50,0)</f>
        <v>0</v>
      </c>
      <c r="O50" s="151">
        <f ca="1">IF(AND($H55&gt;0,$H52=50,$B55&lt;2,$J50&gt;0,$J50&lt;500,$F55=0),150/$J50,0)</f>
        <v>0</v>
      </c>
      <c r="P50" s="151">
        <f ca="1">IF(AND($H55&gt;0,$H52=100,$J50&gt;0,$J50&lt;500,$B55&lt;2,$F55=0),(BV53/$J50)+($BT$2*$B55),0)</f>
        <v>0</v>
      </c>
      <c r="Q50" s="152">
        <f ca="1">IF(AND($H55&gt;0,$H52=25,$J50&gt;0,$J50&lt;500,$B55&gt;1.999,$F55=0),BV53/$J50,0)</f>
        <v>0</v>
      </c>
      <c r="R50" s="152">
        <f ca="1">IF(AND($H55&gt;0,$H52=50,$J50&lt;500,$B55&gt;1.999,$F55=0),150/$J50,0)</f>
        <v>0</v>
      </c>
      <c r="S50" s="152">
        <f ca="1">IF(AND($H55&gt;0,$H52=100,$J50&lt;500,$B55&gt;1.999,$F55=0),(BV53/$J50)+($BT$2*$B55),0)</f>
        <v>0</v>
      </c>
      <c r="T50" s="165">
        <f ca="1">IFERROR(IF(AND($H52=0,$H55=0,$G55&lt;&gt;0,$J50&lt;&gt;0,$J50/$G55&lt;500,$J50/$G55&gt;0,$F55=1),BP50/$J50,0),0)</f>
        <v>0</v>
      </c>
      <c r="U50" s="151">
        <f ca="1">IFERROR(IF(AND($H52&gt;0,$H55=1,$J50/$G55&lt;500,$J50/$G55&gt;0,$F55=1),BQ50/$J50,0),0)</f>
        <v>0</v>
      </c>
      <c r="V50" s="152">
        <f ca="1">IFERROR(IF(AND($H52&gt;0,$H55=2,$J50/$G55&lt;500,$J50/$G55&gt;0,$F55=1),BR50/$J50,0),0)</f>
        <v>0</v>
      </c>
      <c r="W50" s="172">
        <f ca="1">IFERROR(IF(AND($H52&gt;0,$H55=3,$J50/$G55&lt;500,$J50/$G55&gt;0,$F55=1),BS50/$J50,0),0)</f>
        <v>0</v>
      </c>
      <c r="X50" s="150">
        <f ca="1">IF(AND($H52=0,$H55=0,$J51&lt;500,$J51&gt;0,$B55&lt;2,$F55=0),BJ50/$J51,0)</f>
        <v>0</v>
      </c>
      <c r="Y50" s="150">
        <f ca="1">IF(AND($H52=0,$H55=0,$J51&lt;500,$J51&gt;0,$B55&gt;1.999,$F55=0),BK50/$J51,0)</f>
        <v>0</v>
      </c>
      <c r="Z50" s="151">
        <f ca="1">IF(AND($H55&gt;0,$H52=25,$B55&lt;2,$J51&lt;500,$F55=0),BV53/$J51,0)</f>
        <v>0</v>
      </c>
      <c r="AA50" s="151">
        <f ca="1">IF(AND($H55&gt;0,$H52=50,$B55&lt;2,$J51&lt;500,$F55=0),150/$J51,0)</f>
        <v>0</v>
      </c>
      <c r="AB50" s="151">
        <f ca="1">IF(AND($H55&gt;0,$H52=100,$J51&lt;500,$B55&lt;2,$F55=0),(BV53/$J51)+($BT$2*$B55),0)</f>
        <v>0</v>
      </c>
      <c r="AC50" s="152">
        <f ca="1">IF(AND($H55&gt;0,$H52=25,$J51&lt;500,$B55&gt;1.999,$F55=0),BV53/$J51,0)</f>
        <v>0</v>
      </c>
      <c r="AD50" s="152">
        <f ca="1">IF(AND($H55&gt;0,$H52=50,$J51&lt;500,$B55&gt;1.999,$F55=0),150/$J51,0)</f>
        <v>0</v>
      </c>
      <c r="AE50" s="152">
        <f ca="1">IF(AND($H55&gt;0,$H52=50,$B55&lt;2,$J51&gt;0,$J51&lt;500,$F55=0),150/$J51,0)</f>
        <v>0</v>
      </c>
      <c r="AF50" s="165">
        <f ca="1">IF(AND($H55&gt;0,$H52=100,$J51&gt;0,$J51&lt;500,$B55&lt;2,$F55=0),(BV53/$J51)+($BT$2*$B55),0)</f>
        <v>0</v>
      </c>
      <c r="AG50" s="151">
        <f ca="1">IF(AND($H55&gt;0,$H52=25,$J51&gt;0,$J51&lt;500,$B55&gt;1.999,$F55=0),BV53/$J51,0)</f>
        <v>0</v>
      </c>
      <c r="AH50" s="152">
        <f ca="1">IF(AND($H55&gt;0,$H52=50,$J51&gt;0,$J51&lt;500,$B55&gt;1.999,$F55=0),150/$J51,0)</f>
        <v>0</v>
      </c>
      <c r="AI50" s="172" t="e">
        <f ca="1">IF(AND($H52&gt;0,$H55=3,$G55&lt;&gt;0,$J51&gt;0,$J51/$G55&gt;0,$J51/$G55&lt;500,$F55=1),BS50/$J51,0)</f>
        <v>#DIV/0!</v>
      </c>
      <c r="AJ50" s="150">
        <f ca="1">IF(AND($H52=0,$H55=0,$J52&gt;0,$J52&lt;500,$B55&lt;2,$F55=0),BJ50/$J52,0)</f>
        <v>0</v>
      </c>
      <c r="AK50" s="150">
        <f ca="1">IF(AND($H52=0,$H55=0,$J52&gt;0,$J52&lt;500,$B55&gt;1.999,$F55=0),BK50/$J52,0)</f>
        <v>0</v>
      </c>
      <c r="AL50" s="151">
        <f ca="1">IF(AND($H55&gt;0,$H52=25,$B55&lt;2,$J52&gt;0,$J52&lt;500,$F55=0),BV53/$J52,0)</f>
        <v>0</v>
      </c>
      <c r="AM50" s="151">
        <f ca="1">IF(AND($H55&gt;0,$H52=50,$B55&lt;2,$J52&gt;0,$J52&lt;500,$F55=0),BV53/$J52,0)</f>
        <v>0</v>
      </c>
      <c r="AN50" s="151">
        <f ca="1">IF(AND($H55&gt;0,$H52=100,$J52&gt;0,$J52&lt;500,$B55&lt;2,$F55=0),(BV53/$J52)+($BT$2*$B55),0)</f>
        <v>0</v>
      </c>
      <c r="AO50" s="152">
        <f ca="1">IF(AND($H55&gt;0,$H52=25,$J52&gt;0,$J52&lt;500,$B55&gt;1.999,$F55=0),BV53/$J52,0)</f>
        <v>0</v>
      </c>
      <c r="AP50" s="152">
        <f ca="1">IF(AND($H55&gt;0,$H52=50,$J52&gt;0,$J52&lt;500,$B55&gt;1.999,$F55=0),150/$J52,0)</f>
        <v>0</v>
      </c>
      <c r="AQ50" s="152">
        <f ca="1">IF(AND($H55&gt;0,$H52=100,$J52&gt;0,$J52&lt;500,$B55&gt;1.999,$F55=0),(BV53/$J52)+($BT$2*$B55),0)</f>
        <v>0</v>
      </c>
      <c r="AR50" s="165" t="e">
        <f ca="1">IF(AND($H52=0,$H55=0,$G55&lt;&gt;0,$J52&gt;0,$J52/$G55&lt;500,$J52/$G55&gt;0,$F55=1),BP50/$J52,0)</f>
        <v>#DIV/0!</v>
      </c>
      <c r="AS50" s="151" t="e">
        <f ca="1">IF(AND($H52&gt;0,$H55=1,$G55&lt;&gt;0,$J52&gt;0,$J52/$G55&lt;500,$J52/$G55&gt;0,$F55=1),BQ50/$J52,0)</f>
        <v>#DIV/0!</v>
      </c>
      <c r="AT50" s="152" t="e">
        <f ca="1">IF(AND($H52&gt;0,$H55=2,$G55&lt;&gt;0,$J52&gt;0,$J52/$G55&lt;500,$J52/$G55&gt;0,$F55=1),BR50/$J52,0)</f>
        <v>#DIV/0!</v>
      </c>
      <c r="AU50" s="172" t="e">
        <f ca="1">IF(AND($H52&gt;0,$H55=3,$G55&lt;&gt;0,$J52&gt;0,$J52/$G55&lt;500,$J52/$G55&gt;0,$F55=1),BS50/$J52,0)</f>
        <v>#DIV/0!</v>
      </c>
      <c r="AV50" s="150">
        <f ca="1">IF(AND($H52=0,$H55=0,$J53&gt;0,$J53&lt;500,$B55&lt;2,$F55=0),BJ50/$J53,0)</f>
        <v>0</v>
      </c>
      <c r="AW50" s="150">
        <f ca="1">IF(AND($H52=0,$H55=0,$J53&gt;0,$J53&lt;500,$B55&gt;1.999,$F55=0),BK50/$J53,0)</f>
        <v>0</v>
      </c>
      <c r="AX50" s="151">
        <f ca="1">IF(AND($H55&gt;0,$H52=25,$B55&lt;2,$J53&gt;0,$J53&lt;500,$F55=0),BV53/$J53,0)</f>
        <v>0</v>
      </c>
      <c r="AY50" s="151">
        <f ca="1">IF(AND($H55&gt;0,$H52=50,$B55&lt;2,$J53&gt;0,$J53&lt;500,$F55=0),150/$J53,0)</f>
        <v>0</v>
      </c>
      <c r="AZ50" s="151">
        <f ca="1">IF(AND($H55&gt;0,$H52=100,$B55&lt;2,$J53&gt;0,$J53&lt;500,$F55=0),(BV53/$J53)+($BT$2*$B55),0)</f>
        <v>0</v>
      </c>
      <c r="BA50" s="152">
        <f ca="1">IF(AND($H55&gt;0,$H52=25,$J53&gt;0,$J53&lt;500,$B55&gt;1.999,$F55=0),BV53/$J53,0)</f>
        <v>0</v>
      </c>
      <c r="BB50" s="152">
        <f ca="1">IF(AND($H55&gt;0,$H52=50,$J53&gt;0,$J53&lt;500,$B55&gt;1.999,$F55=0),150/$J53,0)</f>
        <v>0</v>
      </c>
      <c r="BC50" s="152">
        <f ca="1">IF(AND($H55&gt;0,$H52=100,$J53&gt;0,$J53&lt;500,$B55&gt;1.999,$F55=0),(BV53/$J53)+($BT$2*$B55),0)</f>
        <v>0</v>
      </c>
      <c r="BD50" s="165">
        <f ca="1">IFERROR(IF(AND($H52=0,$H55=0,$G55&lt;&gt;0,$J53&gt;0,$J53/$G55&lt;500,$J53/$G55&gt;0,$F55=1),BP50/$J53,0),0)</f>
        <v>0</v>
      </c>
      <c r="BE50" s="151">
        <f ca="1">IFERROR(IF(AND($H52&gt;0,$H55=1,$G55&lt;&gt;0,$J53&gt;0,$J53/$G55&lt;500,$J53/$G55&gt;0,$F55=1),BQ50/$J53,0),0)</f>
        <v>0</v>
      </c>
      <c r="BF50" s="152">
        <f ca="1">IFERROR(IF(AND($H52&gt;0,$H55=2,$G55&lt;&gt;0,$J53&gt;0,$J53/$G55&lt;500,$J53/$G55&gt;0,$F55=1),BR50/$J53,0),0)</f>
        <v>0</v>
      </c>
      <c r="BG50" s="172">
        <f ca="1">IFERROR(IF(AND($H52&gt;0,$H55=3,$G55&lt;&gt;0,$J53&gt;0,$J53/$G55&lt;500,$J53/$G55&gt;0,$F55=1),BS50/$J53,0),0)</f>
        <v>0</v>
      </c>
      <c r="BI50" t="s">
        <v>1035</v>
      </c>
    </row>
    <row r="51" spans="1:61" ht="13.2">
      <c r="A51" s="260"/>
      <c r="B51" s="274"/>
      <c r="C51" s="174">
        <f>Kalk!C28</f>
        <v>0</v>
      </c>
      <c r="D51" s="174">
        <f>Kalk!E28</f>
        <v>0</v>
      </c>
      <c r="E51" s="147">
        <f>Kalk!G28</f>
        <v>0</v>
      </c>
      <c r="F51" s="147">
        <f ca="1">IF(KLEJENIE!E55=1,Kalk!H28,Kalk!I28)</f>
        <v>47</v>
      </c>
      <c r="G51" s="147">
        <f ca="1">Kalk!I30</f>
        <v>8</v>
      </c>
      <c r="H51" s="269"/>
      <c r="I51" s="269"/>
      <c r="J51" s="88">
        <f ca="1">IF(KLEJENIE!E$55=1,Kalk!AH28*2,Kalk!AH28)</f>
        <v>0</v>
      </c>
      <c r="K51" s="150">
        <f ca="1">IF(AND($C55=1,$J51&gt;0),IF($H52=100, SUM(X55:AI55)+($BT$2*$B55), SUM(X55:AI55)),IF(AND($B52=1,$J51&gt;0),SUM(X55:AI55) + IF(AND($H55&gt;1,$F55=0), $H55*0.05-0.05, 0),0))</f>
        <v>0</v>
      </c>
      <c r="L51" s="150">
        <f ca="1">IF(AND($H52=0,$H55=0,$B55&lt;2,$J50&gt;499,$J50&lt;1000,$F55=0),$BJ$3,0)</f>
        <v>0</v>
      </c>
      <c r="M51" s="150">
        <f ca="1">IF(AND($H52=0,$H55=0,$B55&gt;1.999,$J50&gt;499,$J50&lt;1000,$F55=0),$BK$3,0)</f>
        <v>0</v>
      </c>
      <c r="N51" s="151">
        <f ca="1">IF(AND($H52=25,$H55&gt;0,$B55&lt;2,$J50&gt;499,$J50&lt;1000,$F55=0),$BL$3,0)</f>
        <v>0</v>
      </c>
      <c r="O51" s="151">
        <f ca="1">IF(AND($H52=50,$H55&gt;0,$B55&lt;2,$J50&gt;499,$J50&lt;1000,$F55=0),$BM$3,0)</f>
        <v>0</v>
      </c>
      <c r="P51" s="151">
        <f ca="1">IF(AND($H52=100,$H55&gt;0,$J50&gt;499,$J50&lt;1000,$B55&lt;2,$F55=0),$BM$3+($BT$2*$B55),0)</f>
        <v>0</v>
      </c>
      <c r="Q51" s="152">
        <f ca="1">IF(AND($H52=25,$H55&gt;0,$B55&gt;1.999,$J50&gt;499,$J50&lt;1000,$F55=0),$BN$3,0)</f>
        <v>0</v>
      </c>
      <c r="R51" s="152">
        <f ca="1">IF(AND($H52=50,$H55&gt;0,$J50&gt;499,$J50&lt;1000,$B55&gt;1.999,$F55=0),$BO$3,0)</f>
        <v>0</v>
      </c>
      <c r="S51" s="152">
        <f ca="1">IF(AND($H52=100,$H55&gt;0,$J50&gt;499,$J50&lt;1000,$B55&gt;1.999,$F55=0),$BO$3+($BT$2*$B55),0)</f>
        <v>0</v>
      </c>
      <c r="T51" s="165">
        <f ca="1">IFERROR(IF(AND($H52=0,$H55=0,$J50/$G55&lt;1000,$J50/$G55&gt;499,$F55=1),$BP$3/$G55,0),0)</f>
        <v>0</v>
      </c>
      <c r="U51" s="151">
        <f ca="1">IFERROR(IF(AND($H52&gt;0,$H55=1,$J50/$G55&lt;1000,$J50/$G55&gt;499,$F55=1),$BQ$3/$G55,0),0)</f>
        <v>0</v>
      </c>
      <c r="V51" s="152">
        <f ca="1">IFERROR(IF(AND($H52&gt;0,$H55=2,$J50/$G55&lt;1000,$J50/$G55&gt;499,$F55=1),$BR$3/$G55,0),0)</f>
        <v>0</v>
      </c>
      <c r="W51" s="172">
        <f ca="1">IFERROR(IF(AND($H52&gt;0,$H55=3,$J50/$G55&lt;1000,$J50/$G55&gt;499,$F55=1),$BS$3/$G55,0),0)</f>
        <v>0</v>
      </c>
      <c r="X51" s="150">
        <f ca="1">IF(AND($H52=0,$H55=0,$B55&lt;2,$J51&gt;499,$J51&lt;1000,$F55=0),$BJ$3,0)</f>
        <v>0</v>
      </c>
      <c r="Y51" s="150">
        <f ca="1">IF(AND($H52=0,$H55=0,$B55&gt;1.999,$J51&gt;499,$J51&lt;1000,$F55=0),$BK$3,0)</f>
        <v>0</v>
      </c>
      <c r="Z51" s="151">
        <f ca="1">IF(AND($H52=25,$H55&gt;0,$B55&lt;2,$J51&gt;499,$J51&lt;1000,$F55=0),$BL$3,0)</f>
        <v>0</v>
      </c>
      <c r="AA51" s="151">
        <f ca="1">IF(AND($H52=50,$H55&gt;0,$B55&lt;2,$J51&gt;499,$J51&lt;1000,$F55=0),$BM$3,0)</f>
        <v>0</v>
      </c>
      <c r="AB51" s="151">
        <f ca="1">IF(AND($H52=100,$H55&gt;0,$J51&gt;499,$J51&lt;1000,$B55&lt;2,$F55=0),$BM$3+($BT$2*$B55),0)</f>
        <v>0</v>
      </c>
      <c r="AC51" s="152">
        <f ca="1">IF(AND($H52=25,$H55&gt;0,$B55&gt;1.999,$J51&gt;499,$J51&lt;1000,$F55=0),$BN$3,0)</f>
        <v>0</v>
      </c>
      <c r="AD51" s="152">
        <f ca="1">IF(AND($H52=50,$H55&gt;0,$J51&gt;499,$J51&lt;1000,$B55&gt;1.999,$F55=0),$BO$3,0)</f>
        <v>0</v>
      </c>
      <c r="AE51" s="152">
        <f ca="1">IF(AND($H52=50,$H55&gt;0,$B55&lt;2,$J51&gt;499,$J51&lt;1000,$F55=0),$BM$3,0)</f>
        <v>0</v>
      </c>
      <c r="AF51" s="165">
        <f ca="1">IF(AND($H52=100,$H55&gt;0,$J51&gt;499,$J51&lt;1000,$B55&lt;2,$F55=0),$BM$3+($BT$2*$B55),0)</f>
        <v>0</v>
      </c>
      <c r="AG51" s="151">
        <f ca="1">IF(AND($H52=25,$H55&gt;0,$B55&gt;1.999,$J51&gt;499,$J51&lt;1000,$F55=0),$BN$3,0)</f>
        <v>0</v>
      </c>
      <c r="AH51" s="152">
        <f ca="1">IF(AND($H52=50,$H55&gt;0,$J51&gt;499,$J51&lt;1000,$B55&gt;1.999,$F55=0),$BO$3,0)</f>
        <v>0</v>
      </c>
      <c r="AI51" s="172" t="e">
        <f ca="1">IF(AND($H52&gt;0,$H55=3,$G55&lt;&gt;0,$J51/$G55&gt;499,$J51/$G55&lt;1000,$F55=1),$BS$3/$G55,0)</f>
        <v>#DIV/0!</v>
      </c>
      <c r="AJ51" s="150">
        <f ca="1">IF(AND($H52=0,$H55=0,$B55&lt;2,$J52&gt;499,$J52&lt;1000,$F55=0),$BJ$3,0)</f>
        <v>0</v>
      </c>
      <c r="AK51" s="150">
        <f ca="1">IF(AND($H52=0,$H55=0,$B55&gt;1.999,$J52&gt;499,$J52&lt;1000,$F55=0),$BK$3,0)</f>
        <v>0</v>
      </c>
      <c r="AL51" s="151">
        <f ca="1">IF(AND($H52=25,$H55&gt;0,$B55&lt;2,$J52&gt;499,$J52&lt;1000,$F55=0),$BL$3,0)</f>
        <v>0</v>
      </c>
      <c r="AM51" s="151">
        <f ca="1">IF(AND($H52=50,$H55&gt;0,$B55&lt;2,$J52&gt;499,$J52&lt;1000,$F55=0),$BM$3,0)</f>
        <v>0</v>
      </c>
      <c r="AN51" s="151">
        <f ca="1">IF(AND($H52=100,$H55&gt;0,$J52&gt;499,$J52&lt;1000,$B55&lt;2,$F55=0),$BM$3+($BT$2*$B55),0)</f>
        <v>0</v>
      </c>
      <c r="AO51" s="152">
        <f ca="1">IF(AND($H52=25,$H55&gt;0,$B55&gt;1.999,$J52&gt;499,$J52&lt;1000,$F55=0),$BN$3,0)</f>
        <v>0</v>
      </c>
      <c r="AP51" s="152">
        <f ca="1">IF(AND($H52=50,$H55&gt;0,$J52&gt;499,$J52&lt;1000,$B55&gt;1.999,$F55=0),$BO$3,0)</f>
        <v>0</v>
      </c>
      <c r="AQ51" s="152">
        <f ca="1">IF(AND($H52=100,$H55&gt;0,$J52&gt;499,$J52&lt;1000,$B55&gt;1.999,$F55=0),$BO$3+($BT$2*$B55),0)</f>
        <v>0</v>
      </c>
      <c r="AR51" s="165" t="e">
        <f ca="1">IF(AND($H52=0,$H55=0,$G55&lt;&gt;0,$J52/$G55&lt;1000,$J52/$G55&gt;499,$F55=1),$BP$3/$G55,0)</f>
        <v>#DIV/0!</v>
      </c>
      <c r="AS51" s="151" t="e">
        <f ca="1">IF(AND($H52&gt;0,$H55=1,$G55&lt;&gt;0,$J52/$G55&lt;1000,$J52/$G55&gt;499,$F55=1),$BQ$3/$G55,0)</f>
        <v>#DIV/0!</v>
      </c>
      <c r="AT51" s="152" t="e">
        <f ca="1">IF(AND($H52&gt;0,$H55=2,$G55&lt;&gt;0,$J52/$G55&lt;1000,$J52/$G55&gt;499,$F55=1),$BR$3/$G55,0)</f>
        <v>#DIV/0!</v>
      </c>
      <c r="AU51" s="172" t="e">
        <f ca="1">IF(AND($H52&gt;0,$H55=3,$G55&lt;&gt;0,$J52/$G55&lt;1000,$J52/$G55&gt;499,$F55=1),$BS$3/$G55,0)</f>
        <v>#DIV/0!</v>
      </c>
      <c r="AV51" s="150">
        <f ca="1">IF(AND($H52=0,$H55=0,$B55&lt;2,$J53&gt;499,$J53&lt;1000,$F55=0),$BJ$3,0)</f>
        <v>0</v>
      </c>
      <c r="AW51" s="150">
        <f ca="1">IF(AND($H52=0,$H55=0,$B55&gt;1.999,$J53&gt;499,$J53&lt;1000,$F55=0),$BK$3,0)</f>
        <v>0</v>
      </c>
      <c r="AX51" s="151">
        <f ca="1">IF(AND($H52=25,$H55&gt;0,$B55&lt;2,$J53&gt;499,$J53&lt;1000,$F55=0),$BL$3,0)</f>
        <v>0</v>
      </c>
      <c r="AY51" s="151">
        <f ca="1">IF(AND($H52=50,$H55&gt;0,$B55&lt;2,$J53&gt;499,$J53&lt;1000,$F55=0),$BM$3,0)</f>
        <v>0</v>
      </c>
      <c r="AZ51" s="151">
        <f ca="1">IF(AND($H52=100,$H55&gt;0,$B55&lt;2,$J53&gt;499,$J53&lt;1000,$F55=0),$BM$3+($BT$2*$B55),0)</f>
        <v>0</v>
      </c>
      <c r="BA51" s="152">
        <f ca="1">IF(AND($H52=25,$H55&gt;0,$B55&gt;1.999,$J53&gt;499,$J53&lt;1000,$F55=0),$BN$3,0)</f>
        <v>0</v>
      </c>
      <c r="BB51" s="152">
        <f ca="1">IF(AND($H52=50,$H55&gt;0,$J53&gt;499,$J53&lt;1000,$B55&gt;1.999,$F55=0),$BO$3,0)</f>
        <v>0</v>
      </c>
      <c r="BC51" s="152">
        <f ca="1">IF(AND($H52=100,$H55&gt;0,$J53&gt;499,$J53&lt;1000,$B55&gt;1.999,$F55=0),$BO$3+($BT$2*$B55),0)</f>
        <v>0</v>
      </c>
      <c r="BD51" s="165">
        <f ca="1">IFERROR(IF(AND($H52=0,$H55=0,$G55&lt;&gt;0,$J53/$G55&lt;1000,$J53/$G55&gt;499,$F55=1),$BP$3/$G55,0),0)</f>
        <v>0</v>
      </c>
      <c r="BE51" s="151">
        <f ca="1">IFERROR(IF(AND($H52&gt;0,$H55=1,$G55&lt;&gt;0,$J53/$G55&lt;1000,$J53/$G55&gt;499,$F55=1),$BQ$3/$G55,0),0)</f>
        <v>0</v>
      </c>
      <c r="BF51" s="152">
        <f ca="1">IFERROR(IF(AND($H52&gt;0,$H55=2,$G55&lt;&gt;0,$J53/$G55&lt;1000,$J53/$G55&gt;499,$F55=1),$BR$3/$G55,0),0)</f>
        <v>0</v>
      </c>
      <c r="BG51" s="172">
        <f ca="1">IFERROR(IF(AND($H52&gt;0,$H55=3,$G55&lt;&gt;0,$J53/$G55&lt;1000,$J53/$G55&gt;499,$F55=1),$BS$3/$G55,0),0)</f>
        <v>0</v>
      </c>
      <c r="BI51" t="s">
        <v>1036</v>
      </c>
    </row>
    <row r="52" spans="1:61" ht="13.2">
      <c r="A52" s="260"/>
      <c r="B52" s="153">
        <f ca="1">IF(SUM(C52:G52)+I52=6,1,0)</f>
        <v>0</v>
      </c>
      <c r="C52" s="88">
        <f ca="1">IF(KLEJENIE!E55=1,1,IF(AND(C51&gt;267,C51&lt;2251),1,0))</f>
        <v>0</v>
      </c>
      <c r="D52" s="88">
        <f>IF((D51&gt;=50)*AND(D51&lt;1001),1,0)</f>
        <v>0</v>
      </c>
      <c r="E52" s="88">
        <f>IF((E51&gt;49)*AND(E51&lt;1401),1,0)</f>
        <v>0</v>
      </c>
      <c r="F52" s="88">
        <f ca="1">IF((F51&gt;599)*AND(F51&lt;2856),1,0)</f>
        <v>0</v>
      </c>
      <c r="G52" s="88" cm="1">
        <f t="array" aca="1" ref="G52" ca="1">IF(AND(G51&gt;399, IF(C55=1, G51&lt;1581, INDIRECT("'"&amp;Kalk!B28&amp;"'!L3")=1)),1,0)</f>
        <v>0</v>
      </c>
      <c r="H52" s="154">
        <f>Kalk!M51</f>
        <v>0</v>
      </c>
      <c r="I52" s="154">
        <f ca="1">IF(E51+((G51-E51)/2)&lt;1590,1,0)</f>
        <v>1</v>
      </c>
      <c r="J52" s="88">
        <f ca="1">IF(KLEJENIE!E$55=1,Kalk!AH29*2,Kalk!AH29)</f>
        <v>0</v>
      </c>
      <c r="K52" s="150">
        <f ca="1">IF(AND($C55=1,$J52&gt;0),IF($H52=100, SUM(AJ55:AU55)+($BT$2*$B55), SUM(AJ55:AU55)),IF(AND($B52=1,$J52&gt;0),SUM(AJ55:AU55) + IF(AND($H55&gt;1,$F55=0), $H55*0.05-0.05, 0),0))</f>
        <v>0</v>
      </c>
      <c r="L52" s="150">
        <f ca="1">IF(AND($H52=0,$H55=0,$B55&lt;2,$J50&gt;999,$J50&lt;3000,$F55=0),$BJ$4,0)</f>
        <v>0</v>
      </c>
      <c r="M52" s="150">
        <f ca="1">IF(AND($H52=0,$H55=0,$B55&gt;1.999,$J50&gt;999,$J50&lt;3000,$F55=0),$BK$4,0)</f>
        <v>0</v>
      </c>
      <c r="N52" s="151">
        <f ca="1">IF(AND($H52=25,$H55&gt;0,$B55&lt;2,$J50&gt;999,$J50&lt;3000,$F55=0),$BL$4,0)</f>
        <v>0</v>
      </c>
      <c r="O52" s="151">
        <f ca="1">IF(AND($H52=50,$H55&gt;0,$B55&lt;2,$J50&gt;999,$J50&lt;3000,$F55=0),$BM$4,0)</f>
        <v>0</v>
      </c>
      <c r="P52" s="151">
        <f ca="1">IF(AND($H52=100,$H55&gt;0,$B55&lt;2,$J50&gt;999,$J50&lt;3000,$F55=0),$BM$4+($BT$2*$B55),0)</f>
        <v>0</v>
      </c>
      <c r="Q52" s="152">
        <f ca="1">IF(AND($H52=25,$H55&gt;0,$B55&gt;1.999,$J50&gt;999,$J50&lt;3000,$F55=0),$BN$4,0)</f>
        <v>0</v>
      </c>
      <c r="R52" s="152">
        <f ca="1">IF(AND($H52=50,$H55&gt;0,$B55&gt;1.999,$J50&gt;999,$J50&lt;3000,$F55=0),$BO$4,0)</f>
        <v>0</v>
      </c>
      <c r="S52" s="152">
        <f ca="1">IF(AND($H52=100,$H55&gt;0,$J50&gt;999,$J50&lt;3000,$B55&gt;1.999,$F55=0),$BO$4+($BT$2*$B55),0)</f>
        <v>0</v>
      </c>
      <c r="T52" s="165">
        <f ca="1">IFERROR(IF(AND($H52=0,$H55=0,$J50/$G55&lt;3000,$J50/$G55&gt;999,$F55=1),$BP$4/$G55,0),0)</f>
        <v>0</v>
      </c>
      <c r="U52" s="151">
        <f ca="1">IFERROR(IF(AND($H52&gt;0,$H55=1,$J50/$G55&lt;3000,$J50/$G55&gt;999,$F55=1),$BQ$4/$G55,0),0)</f>
        <v>0</v>
      </c>
      <c r="V52" s="152">
        <f ca="1">IFERROR(IF(AND($H52&gt;0,$H55=2,$J50/$G55&lt;3000,$J50/$G55&gt;999,$F55=1),$BR$4/$G55,0),0)</f>
        <v>0</v>
      </c>
      <c r="W52" s="172">
        <f ca="1">IFERROR(IF(AND($H52&gt;0,$H55=3,$J50/$G55&lt;3000,$J50/$G55&gt;999,$F55=1),$BS$4/$G55,0),0)</f>
        <v>0</v>
      </c>
      <c r="X52" s="150">
        <f ca="1">IF(AND($H52=0,$H55=0,$B55&lt;2,$J51&gt;999,$J51&lt;3000,$F55=0),$BJ$4,0)</f>
        <v>0</v>
      </c>
      <c r="Y52" s="150">
        <f ca="1">IF(AND($H52=0,$H55=0,$B55&gt;1.999,$J51&gt;999,$J51&lt;3000,$F55=0),$BK$4,0)</f>
        <v>0</v>
      </c>
      <c r="Z52" s="151">
        <f ca="1">IF(AND($H52=25,$H55&gt;0,$B55&lt;2,$J51&gt;999,$J51&lt;3000,$F55=0),$BL$4,0)</f>
        <v>0</v>
      </c>
      <c r="AA52" s="151">
        <f ca="1">IF(AND($H52=50,$H55&gt;0,$B55&lt;2,$J51&gt;999,$J51&lt;3000,$F55=0),$BM$4,0)</f>
        <v>0</v>
      </c>
      <c r="AB52" s="151">
        <f ca="1">IF(AND($H52=100,$H55&gt;0,$B55&lt;2,$J51&gt;999,$J51&lt;3000,$F55=0),$BM$4+($BT$2*$B55),0)</f>
        <v>0</v>
      </c>
      <c r="AC52" s="152">
        <f ca="1">IF(AND($H52=25,$H55&gt;0,$B55&gt;1.999,$J51&gt;999,$J51&lt;3000,$F55=0),$BN$4,0)</f>
        <v>0</v>
      </c>
      <c r="AD52" s="152">
        <f ca="1">IF(AND($H52=50,$H55&gt;0,$B55&gt;1.999,$J51&gt;999,$J51&lt;3000,$F55=0),$BO$4,0)</f>
        <v>0</v>
      </c>
      <c r="AE52" s="152">
        <f ca="1">IF(AND($H52=50,$H55&gt;0,$B55&lt;2,$J51&gt;999,$J51&lt;3000,$F55=0),$BM$4,0)</f>
        <v>0</v>
      </c>
      <c r="AF52" s="165">
        <f ca="1">IF(AND($H52=100,$H55&gt;0,$B55&lt;2,$J51&gt;999,$J51&lt;3000,$F55=0),$BM$4+($BT$2*$B55),0)</f>
        <v>0</v>
      </c>
      <c r="AG52" s="151">
        <f ca="1">IF(AND($H52=25,$H55&gt;0,$B55&gt;1.999,$J51&gt;999,$J51&lt;3000,$F55=0),$BN$4,0)</f>
        <v>0</v>
      </c>
      <c r="AH52" s="152">
        <f ca="1">IF(AND($H52=50,$H55&gt;0,$B55&gt;1.999,$J51&gt;999,$J51&lt;3000,$F55=0),$BO$4,0)</f>
        <v>0</v>
      </c>
      <c r="AI52" s="172" t="e">
        <f ca="1">IF(AND($H52&gt;0,$H55=3,$G55&lt;&gt;0,$J51/$G55&gt;999,$J51/$G55&lt;3000,$F55=1),$BS$4/$G55,0)</f>
        <v>#DIV/0!</v>
      </c>
      <c r="AJ52" s="150">
        <f ca="1">IF(AND($H52=0,$H55=0,$B55&lt;2,$J52&gt;999,$J52&lt;3000,$F55=0),$BJ$4,0)</f>
        <v>0</v>
      </c>
      <c r="AK52" s="150">
        <f ca="1">IF(AND($H52=0,$H55=0,$B55&gt;1.999,$J52&gt;999,$J52&lt;3000,$F55=0),$BK$4,0)</f>
        <v>0</v>
      </c>
      <c r="AL52" s="151">
        <f ca="1">IF(AND($H52=25,$H55&gt;0,$B55&lt;2,$J52&gt;999,$J52&lt;3000,$F55=0),$BL$4,0)</f>
        <v>0</v>
      </c>
      <c r="AM52" s="151">
        <f ca="1">IF(AND($H52=50,$H55&gt;0,$B55&lt;2,$J52&gt;999,$J52&lt;3000,$F55=0),$BM$4,0)</f>
        <v>0</v>
      </c>
      <c r="AN52" s="151">
        <f ca="1">IF(AND($H52=100,$H55&gt;0,$B55&lt;2,$J52&gt;999,$J52&lt;3000,$F55=0),$BM$4+($BT$2*$B55),0)</f>
        <v>0</v>
      </c>
      <c r="AO52" s="152">
        <f ca="1">IF(AND($H52=25,$H55&gt;0,$B55&gt;1.999,$J52&gt;999,$J52&lt;3000,$F55=0),$BN$4,0)</f>
        <v>0</v>
      </c>
      <c r="AP52" s="152">
        <f ca="1">IF(AND($H52=50,$H55&gt;0,$B55&gt;1.999,$J52&gt;999,$J52&lt;3000,$F55=0),$BO$4,0)</f>
        <v>0</v>
      </c>
      <c r="AQ52" s="152">
        <f ca="1">IF(AND($H52=100,$H55&gt;0,$J52&gt;999,$J52&lt;3000,$B55&gt;1.999,$F55=0),$BO$4+($BT$2*$B55),0)</f>
        <v>0</v>
      </c>
      <c r="AR52" s="165" t="e">
        <f ca="1">IF(AND($H52=0,$H55=0,$G55&lt;&gt;0,$J52/$G55&lt;3000,$J52/$G55&gt;999,$F55=1),$BP$4/$G55,0)</f>
        <v>#DIV/0!</v>
      </c>
      <c r="AS52" s="151" t="e">
        <f ca="1">IF(AND($H52&gt;0,$H55=1,$G55&lt;&gt;0,$J52/$G55&lt;3000,$J52/$G55&gt;999,$F55=1),$BQ$4/$G55,0)</f>
        <v>#DIV/0!</v>
      </c>
      <c r="AT52" s="152" t="e">
        <f ca="1">IF(AND($H52&gt;0,$H55=2,$G55&lt;&gt;0,$J52/$G55&lt;3000,$J52/$G55&gt;999,$F55=1),$BR$4/$G55,0)</f>
        <v>#DIV/0!</v>
      </c>
      <c r="AU52" s="172" t="e">
        <f ca="1">IF(AND($H52&gt;0,$H55=3,$G55&lt;&gt;0,$J52/$G55&lt;3000,$J52/$G55&gt;999,$F55=1),$BS$4/$G55,0)</f>
        <v>#DIV/0!</v>
      </c>
      <c r="AV52" s="150">
        <f ca="1">IF(AND($H52=0,$H55=0,$B55&lt;2,$J53&gt;999,$J53&lt;3000,$F55=0),$BJ$4,0)</f>
        <v>0</v>
      </c>
      <c r="AW52" s="150">
        <f ca="1">IF(AND($H52=0,$H55=0,$B55&gt;1.999,$J53&gt;999,$J53&lt;3000,$F55=0),$BK$4,0)</f>
        <v>0</v>
      </c>
      <c r="AX52" s="151">
        <f ca="1">IF(AND($H52=25,$H55&gt;0,$B55&lt;2,$J53&gt;999,$J53&lt;3000,$F55=0),$BL$4,0)</f>
        <v>0</v>
      </c>
      <c r="AY52" s="151">
        <f ca="1">IF(AND($H52=50,$H55&gt;0,$B55&lt;2,$J53&gt;999,$J53&lt;3000,$F55=0),$BM$4,0)</f>
        <v>0</v>
      </c>
      <c r="AZ52" s="151">
        <f ca="1">IF(AND($H52=100,$H55&gt;0,$B55&lt;2,$J53&gt;999,$J53&lt;3000,$F55=0),$BM$4+($BT$2*$B55),0)</f>
        <v>0</v>
      </c>
      <c r="BA52" s="152">
        <f ca="1">IF(AND($H52=25,$H55&gt;0,$B55&gt;1.999,$J53&gt;999,$J53&lt;3000,$F55=0),$BN$4,0)</f>
        <v>0</v>
      </c>
      <c r="BB52" s="152">
        <f ca="1">IF(AND($H52=50,$H55&gt;0,$B55&gt;1.999,$J53&gt;999,$J53&lt;3000,$F55=0),$BO$4,0)</f>
        <v>0</v>
      </c>
      <c r="BC52" s="152">
        <f ca="1">IF(AND($H52=100,$H55&gt;0,$J53&gt;999,$J53&lt;3000,$B55&gt;1.999,$F55=0),$BO$4+($BT$2*$B55),0)</f>
        <v>0</v>
      </c>
      <c r="BD52" s="165">
        <f ca="1">IFERROR(IF(AND($H52=0,$H55=0,$G55&lt;&gt;0,$J53/$G55&lt;3000,$J53/$G55&gt;999,$F55=1),$BP$4/$G55,0),0)</f>
        <v>0</v>
      </c>
      <c r="BE52" s="151">
        <f ca="1">IFERROR(IF(AND($H52&gt;0,$H55=1,$G55&lt;&gt;0,$J53/$G55&lt;3000,$J53/$G55&gt;999,$F55=1),$BQ$4/$G55,0),0)</f>
        <v>0</v>
      </c>
      <c r="BF52" s="152">
        <f ca="1">IFERROR(IF(AND($H52&gt;0,$H55=2,$G55&lt;&gt;0,$J53/$G55&lt;3000,$J53/$G55&gt;999,$F55=1),$BR$4/$G55,0),0)</f>
        <v>0</v>
      </c>
      <c r="BG52" s="172">
        <f ca="1">IFERROR(IF(AND($H52&gt;0,$H55=3,$G55&lt;&gt;0,$J53/$G55&lt;3000,$J53/$G55&gt;999,$F55=1),$BS$4/$G55,0),0)</f>
        <v>0</v>
      </c>
      <c r="BI52" t="s">
        <v>1037</v>
      </c>
    </row>
    <row r="53" spans="1:61" ht="23.85" customHeight="1">
      <c r="A53" s="260"/>
      <c r="B53" s="275" t="s">
        <v>968</v>
      </c>
      <c r="C53" s="274" t="s">
        <v>986</v>
      </c>
      <c r="D53" s="268" t="s">
        <v>987</v>
      </c>
      <c r="E53" s="268"/>
      <c r="F53" s="275" t="s">
        <v>988</v>
      </c>
      <c r="G53" s="149" t="s">
        <v>989</v>
      </c>
      <c r="H53" s="269" t="s">
        <v>971</v>
      </c>
      <c r="I53" s="149"/>
      <c r="J53" s="88">
        <f ca="1">IF(KLEJENIE!E$55=1,Kalk!AH30*2,Kalk!AH30)</f>
        <v>0</v>
      </c>
      <c r="K53" s="150">
        <f ca="1">IF(AND($C55=1,$J53&gt;0),IF($H52=100, SUM(AV55:BG55)+($BT$2*$B55), SUM(AV55:BG55)),IF(AND($B52=1,$J53&gt;0),SUM(AV55:BG55) + IF(AND($H55&gt;1,$F55=0), $H55*0.05-0.05, 0),0))</f>
        <v>0</v>
      </c>
      <c r="L53" s="150">
        <f ca="1">IF(AND($H52=0,$H55=0,$B55&lt;2,$J50&gt;2999,$F55=0),$BJ$5,0)</f>
        <v>0</v>
      </c>
      <c r="M53" s="150">
        <f ca="1">IF(AND($H52=0,$H55=0,$B55&gt;1.999,$J50&gt;2999,$F55=0),$BK$5,0)</f>
        <v>0</v>
      </c>
      <c r="N53" s="151">
        <f ca="1">IF(AND($H52=25,$H55&gt;0,$B55&lt;2,$J50&gt;2999,$F55=0),$BL$5,0)</f>
        <v>0</v>
      </c>
      <c r="O53" s="151">
        <f ca="1">IF(AND($H52=50,$H55&gt;0,$B55&lt;2,$J50&gt;2999,$F55=0),$BM$5,0)</f>
        <v>0</v>
      </c>
      <c r="P53" s="151">
        <f ca="1">IF(AND($H52=100,$H55&gt;0,$J50&gt;2999,$B55&lt;2,$F55=0),$BM$5+($BT$2*$B55),0)</f>
        <v>0</v>
      </c>
      <c r="Q53" s="152">
        <f ca="1">IF(AND($H52=25,$H55&gt;0,$B55&gt;1.999,$J50&gt;2999,$F55=0),$BN$5,0)</f>
        <v>0</v>
      </c>
      <c r="R53" s="152">
        <f ca="1">IF(AND($H52=50,$H55&gt;0,$B55&gt;1.999,$J50&gt;2999,$F55=0),$BO$5,0)</f>
        <v>0</v>
      </c>
      <c r="S53" s="152">
        <f ca="1">IF(AND($H52=100,$H55&gt;0,$J50&gt;2999,$B55&gt;1.999,$F55=0),$BO$5+($BT$2*$B55),0)</f>
        <v>0</v>
      </c>
      <c r="T53" s="165">
        <f ca="1">IFERROR(IF(AND($H52=0,$H55=0,$J50/$G55&gt;2999,$F55=1),$BP$5/$G55,0),0)</f>
        <v>0</v>
      </c>
      <c r="U53" s="151">
        <f ca="1">IFERROR(IF(AND($H52&gt;0,$H55=1,$J50/$G55&gt;2999,$F55=1),$BQ$5/$G55,0),0)</f>
        <v>0</v>
      </c>
      <c r="V53" s="152">
        <f ca="1">IFERROR(IF(AND($H52&gt;0,$H55=2,$J50/$G55&gt;2999,$F55=1),$BR$5/$G55,0),0)</f>
        <v>0</v>
      </c>
      <c r="W53" s="172">
        <f ca="1">IFERROR(IF(AND($H52&gt;0,$H55=3,$J50/$G55&gt;2999,$F55=1),$BS$5/$G55,0),0)</f>
        <v>0</v>
      </c>
      <c r="X53" s="150">
        <f ca="1">IF(AND($H52=0,$H55=0,$B55&lt;2,$J51&gt;2999,$F55=0),$BJ$5,0)</f>
        <v>0</v>
      </c>
      <c r="Y53" s="150">
        <f ca="1">IF(AND($H52=0,$H55=0,$B55&gt;1.999,$J51&gt;2999,$F55=0),$BK$5,0)</f>
        <v>0</v>
      </c>
      <c r="Z53" s="151">
        <f ca="1">IF(AND($H52=25,$H55&gt;0,$B55&lt;2,$J51&gt;2999,$F55=0),$BL$5,0)</f>
        <v>0</v>
      </c>
      <c r="AA53" s="151">
        <f ca="1">IF(AND($H52=50,$H55&gt;0,$B55&lt;2,$J51&gt;2999,$F55=0),$BM$5,0)</f>
        <v>0</v>
      </c>
      <c r="AB53" s="151">
        <f ca="1">IF(AND($H52=100,$H55&gt;0,$J51&gt;2999,$B55&lt;2,$F55=0),$BM$5+($BT$2*$B55),0)</f>
        <v>0</v>
      </c>
      <c r="AC53" s="152">
        <f ca="1">IF(AND($H52=25,$H55&gt;0,$B55&gt;1.999,$J51&gt;2999,$F55=0),$BN$5,0)</f>
        <v>0</v>
      </c>
      <c r="AD53" s="152">
        <f ca="1">IF(AND($H52=50,$H55&gt;0,$B55&gt;1.999,$J51&gt;2999,$F55=0),$BO$5,0)</f>
        <v>0</v>
      </c>
      <c r="AE53" s="152">
        <f ca="1">IF(AND($H52=50,$H55&gt;0,$B55&lt;2,$J51&gt;2999,$F55=0),$BM$5,0)</f>
        <v>0</v>
      </c>
      <c r="AF53" s="165">
        <f ca="1">IF(AND($H52=100,$H55&gt;0,$J51&gt;2999,$B55&lt;2,$F55=0),$BM$5+($BT$2*$B55),0)</f>
        <v>0</v>
      </c>
      <c r="AG53" s="151">
        <f ca="1">IF(AND($H52=25,$H55&gt;0,$B55&gt;1.999,$J51&gt;2999,$F55=0),$BN$5,0)</f>
        <v>0</v>
      </c>
      <c r="AH53" s="152">
        <f ca="1">IF(AND($H52=50,$H55&gt;0,$B55&gt;1.999,$J51&gt;2999,$F55=0),$BO$5,0)</f>
        <v>0</v>
      </c>
      <c r="AI53" s="172" t="e">
        <f ca="1">IF(AND($H52&gt;0,$H55=3,$G55&lt;&gt;0,$J51/$G55&gt;2999,$F55=1),$BS$5/$G55,0)</f>
        <v>#DIV/0!</v>
      </c>
      <c r="AJ53" s="150">
        <f ca="1">IF(AND($H52=0,$H55=0,$B55&lt;2,$J52&gt;2999,$F55=0),$BJ$5,0)</f>
        <v>0</v>
      </c>
      <c r="AK53" s="150">
        <f ca="1">IF(AND($H52=0,$H55=0,$B55&gt;1.999,$J52&gt;2999,$F55=0),$BK$5,0)</f>
        <v>0</v>
      </c>
      <c r="AL53" s="151">
        <f ca="1">IF(AND($H52=25,$H55&gt;0,$B55&lt;2,$J52&gt;2999,$F55=0),$BL$5,0)</f>
        <v>0</v>
      </c>
      <c r="AM53" s="151">
        <f ca="1">IF(AND($H52=50,$H55&gt;0,$B55&lt;2,$J52&gt;2999,$F55=0),$BM$5,0)</f>
        <v>0</v>
      </c>
      <c r="AN53" s="151">
        <f ca="1">IF(AND($H52=100,$H55&gt;0,$J52&gt;2999,$B55&lt;2,$F55=0),$BM$5+($BT$2*$B55),0)</f>
        <v>0</v>
      </c>
      <c r="AO53" s="152">
        <f ca="1">IF(AND($H52=25,$H55&gt;0,$B55&gt;1.999,$J52&gt;2999,$F55=0),$BN$5,0)</f>
        <v>0</v>
      </c>
      <c r="AP53" s="152">
        <f ca="1">IF(AND($H52=50,$H55&gt;0,$B55&gt;1.999,$J52&gt;2999,$F55=0),$BO$5,0)</f>
        <v>0</v>
      </c>
      <c r="AQ53" s="152">
        <f ca="1">IF(AND($H52=100,$H55&gt;0,$J52&gt;2999,$B55&gt;1.999,$F55=0),$BO$5+($BT$2*$B55),0)</f>
        <v>0</v>
      </c>
      <c r="AR53" s="165" t="e">
        <f ca="1">IF(AND($H52=0,$H55=0,$G55&lt;&gt;0,$J52/$G55&gt;2999,$F55=1),$BP$5/$G55,0)</f>
        <v>#DIV/0!</v>
      </c>
      <c r="AS53" s="151" t="e">
        <f ca="1">IF(AND($H52&gt;0,$H55=1,$G55&lt;&gt;0,$J52/$G55&gt;2999,$F55=1),$BQ$5/$G55,0)</f>
        <v>#DIV/0!</v>
      </c>
      <c r="AT53" s="152" t="e">
        <f ca="1">IF(AND($H52&gt;0,$H55=2,$G55&lt;&gt;0,$J52/$G55&gt;2999,$F55=1),$BR$5/$G55,0)</f>
        <v>#DIV/0!</v>
      </c>
      <c r="AU53" s="172" t="e">
        <f ca="1">IF(AND($H52&gt;0,$H55=3,$G55&lt;&gt;0,$J52/$G55&gt;2999,$F55=1),$BS$5/$G55,0)</f>
        <v>#DIV/0!</v>
      </c>
      <c r="AV53" s="150">
        <f ca="1">IF(AND($H52=0,$H55=0,$B55&lt;2,$J53&gt;2999,$F55=0),$BJ$5,0)</f>
        <v>0</v>
      </c>
      <c r="AW53" s="150">
        <f ca="1">IF(AND($H52=0,$H55=0,$B55&gt;1.999,$J53&gt;2999,$F55=0),$BK$5,0)</f>
        <v>0</v>
      </c>
      <c r="AX53" s="151">
        <f ca="1">IF(AND($H52=25,$H55&gt;0,$B55&lt;2,$J53&gt;2999,$F55=0),$BL$5,0)</f>
        <v>0</v>
      </c>
      <c r="AY53" s="151">
        <f ca="1">IF(AND($H52=50,$H55&gt;0,$B55&lt;2,$J53&gt;2999,$F55=0),$BM$5,0)</f>
        <v>0</v>
      </c>
      <c r="AZ53" s="151">
        <f ca="1">IF(AND($H52=100,$H55&gt;0,$B55&lt;2,$J53&gt;2999,$F55=0),$BM$5+($BT$2*$B55),0)</f>
        <v>0</v>
      </c>
      <c r="BA53" s="152">
        <f ca="1">IF(AND($H52=25,$H55&gt;0,$B55&gt;1.999,$J53&gt;2999,$F55=0),$BN$5,0)</f>
        <v>0</v>
      </c>
      <c r="BB53" s="152">
        <f ca="1">IF(AND($H52=50,$H55&gt;0,$B55&gt;1.999,$J53&gt;2999,$F55=0),$BO$5,0)</f>
        <v>0</v>
      </c>
      <c r="BC53" s="152">
        <f ca="1">IF(AND($H52=100,$H55&gt;0,$J53&gt;2999,$B55&gt;1.999,$F55=0),$BO$5+($BT$2*$B55),0)</f>
        <v>0</v>
      </c>
      <c r="BD53" s="165">
        <f ca="1">IFERROR(IF(AND($H52=0,$H55=0,$G55&lt;&gt;0,$J53/$G55&gt;2999,$F55=1),$BP$5/$G55,0),0)</f>
        <v>0</v>
      </c>
      <c r="BE53" s="151">
        <f ca="1">IFERROR(IF(AND($H52&gt;0,$H55=1,$G55&lt;&gt;0,$J53/$G55&gt;2999,$F55=1),$BQ$5/$G55,0),0)</f>
        <v>0</v>
      </c>
      <c r="BF53" s="152">
        <f ca="1">IFERROR(IF(AND($H52&gt;0,$H55=2,$G55&lt;&gt;0,$J53/$G55&gt;2999,$F55=1),$BR$5/$G55,0),0)</f>
        <v>0</v>
      </c>
      <c r="BG53" s="172">
        <f ca="1">IFERROR(IF(AND($H52&gt;0,$H55=3,$G55&lt;&gt;0,$J53/$G55&gt;2999,$F55=1),$BS$5/$G55,0),0)</f>
        <v>0</v>
      </c>
      <c r="BI53" t="s">
        <v>1038</v>
      </c>
    </row>
    <row r="54" spans="1:61" ht="13.35" customHeight="1">
      <c r="A54" s="260"/>
      <c r="B54" s="275"/>
      <c r="C54" s="274"/>
      <c r="D54" s="147"/>
      <c r="E54" s="147"/>
      <c r="F54" s="275"/>
      <c r="G54" s="178"/>
      <c r="H54" s="269"/>
      <c r="I54" s="178"/>
      <c r="J54" s="6"/>
      <c r="K54" s="157"/>
      <c r="L54" s="162"/>
      <c r="M54" s="162"/>
      <c r="N54" s="272" t="s">
        <v>975</v>
      </c>
      <c r="O54" s="272"/>
      <c r="P54" s="272"/>
      <c r="Q54" s="273" t="s">
        <v>976</v>
      </c>
      <c r="R54" s="273"/>
      <c r="S54" s="273"/>
      <c r="T54" s="271" t="s">
        <v>992</v>
      </c>
      <c r="U54" s="271"/>
      <c r="V54" s="271"/>
      <c r="W54" s="271"/>
      <c r="X54" s="162"/>
      <c r="Y54" s="162"/>
      <c r="Z54" s="272" t="s">
        <v>975</v>
      </c>
      <c r="AA54" s="272"/>
      <c r="AB54" s="272"/>
      <c r="AC54" s="273" t="s">
        <v>976</v>
      </c>
      <c r="AD54" s="273"/>
      <c r="AE54" s="273"/>
      <c r="AF54" s="271" t="s">
        <v>992</v>
      </c>
      <c r="AG54" s="271"/>
      <c r="AH54" s="271"/>
      <c r="AI54" s="271"/>
      <c r="AJ54" s="162"/>
      <c r="AK54" s="162"/>
      <c r="AL54" s="272" t="s">
        <v>975</v>
      </c>
      <c r="AM54" s="272"/>
      <c r="AN54" s="272"/>
      <c r="AO54" s="273" t="s">
        <v>976</v>
      </c>
      <c r="AP54" s="273"/>
      <c r="AQ54" s="273"/>
      <c r="AR54" s="271" t="s">
        <v>992</v>
      </c>
      <c r="AS54" s="271"/>
      <c r="AT54" s="271"/>
      <c r="AU54" s="271"/>
      <c r="AV54" s="162"/>
      <c r="AW54" s="162"/>
      <c r="AX54" s="272" t="s">
        <v>975</v>
      </c>
      <c r="AY54" s="272"/>
      <c r="AZ54" s="272"/>
      <c r="BA54" s="273" t="s">
        <v>976</v>
      </c>
      <c r="BB54" s="273"/>
      <c r="BC54" s="273"/>
      <c r="BD54" s="271" t="s">
        <v>992</v>
      </c>
      <c r="BE54" s="271"/>
      <c r="BF54" s="271"/>
      <c r="BG54" s="271"/>
      <c r="BI54" t="s">
        <v>1039</v>
      </c>
    </row>
    <row r="55" spans="1:61" ht="13.2">
      <c r="A55" s="260"/>
      <c r="B55" s="158">
        <f ca="1">IF(KLEJENIE!E55=1,Kalk!J51/2,Kalk!J51)</f>
        <v>0</v>
      </c>
      <c r="C55" s="153">
        <f ca="1">IF(SUM(D55:F55)=3,1,0)</f>
        <v>0</v>
      </c>
      <c r="D55" s="88">
        <f ca="1">IF((F51&gt;599)*AND(F51&lt;2851),1,0)</f>
        <v>0</v>
      </c>
      <c r="E55" s="88">
        <f ca="1">IF((G51&gt;399)*AND(G51&lt;1566),1,0)</f>
        <v>0</v>
      </c>
      <c r="F55" s="154">
        <f>IF(Kalk!B51="Die cut",1,0)</f>
        <v>0</v>
      </c>
      <c r="G55" s="154">
        <f>Kalk!J53*Kalk!J54</f>
        <v>0</v>
      </c>
      <c r="H55" s="154">
        <f>Kalk!W51</f>
        <v>0</v>
      </c>
      <c r="I55" s="154">
        <f>IF(OR(I54="F0200",I54="F0201",I54="F0202",I54="F0203",I54="F0201-F0203",I54="F0200-F0203",I54="F0501",I54="F0452"),1,0)</f>
        <v>0</v>
      </c>
      <c r="J55" s="160"/>
      <c r="K55" s="161"/>
      <c r="L55" s="88">
        <f t="shared" ref="L55:BG55" ca="1" si="6">SUM(L50:L54)</f>
        <v>0</v>
      </c>
      <c r="M55" s="88">
        <f t="shared" ca="1" si="6"/>
        <v>0</v>
      </c>
      <c r="N55" s="88">
        <f t="shared" ca="1" si="6"/>
        <v>0</v>
      </c>
      <c r="O55" s="88">
        <f t="shared" ca="1" si="6"/>
        <v>0</v>
      </c>
      <c r="P55" s="88">
        <f t="shared" ca="1" si="6"/>
        <v>0</v>
      </c>
      <c r="Q55" s="88">
        <f t="shared" ca="1" si="6"/>
        <v>0</v>
      </c>
      <c r="R55" s="88">
        <f t="shared" ca="1" si="6"/>
        <v>0</v>
      </c>
      <c r="S55" s="88">
        <f t="shared" ca="1" si="6"/>
        <v>0</v>
      </c>
      <c r="T55" s="88">
        <f t="shared" ca="1" si="6"/>
        <v>0</v>
      </c>
      <c r="U55" s="88">
        <f t="shared" ca="1" si="6"/>
        <v>0</v>
      </c>
      <c r="V55" s="88">
        <f t="shared" ca="1" si="6"/>
        <v>0</v>
      </c>
      <c r="W55" s="88">
        <f t="shared" ca="1" si="6"/>
        <v>0</v>
      </c>
      <c r="X55" s="88">
        <f t="shared" ca="1" si="6"/>
        <v>0</v>
      </c>
      <c r="Y55" s="88">
        <f t="shared" ca="1" si="6"/>
        <v>0</v>
      </c>
      <c r="Z55" s="88">
        <f t="shared" ca="1" si="6"/>
        <v>0</v>
      </c>
      <c r="AA55" s="88">
        <f t="shared" ca="1" si="6"/>
        <v>0</v>
      </c>
      <c r="AB55" s="88">
        <f t="shared" ca="1" si="6"/>
        <v>0</v>
      </c>
      <c r="AC55" s="88">
        <f t="shared" ca="1" si="6"/>
        <v>0</v>
      </c>
      <c r="AD55" s="88">
        <f t="shared" ca="1" si="6"/>
        <v>0</v>
      </c>
      <c r="AE55" s="88">
        <f t="shared" ca="1" si="6"/>
        <v>0</v>
      </c>
      <c r="AF55" s="88">
        <f t="shared" ca="1" si="6"/>
        <v>0</v>
      </c>
      <c r="AG55" s="88">
        <f t="shared" ca="1" si="6"/>
        <v>0</v>
      </c>
      <c r="AH55" s="88">
        <f t="shared" ca="1" si="6"/>
        <v>0</v>
      </c>
      <c r="AI55" s="88" t="e">
        <f t="shared" ca="1" si="6"/>
        <v>#DIV/0!</v>
      </c>
      <c r="AJ55" s="88">
        <f t="shared" ca="1" si="6"/>
        <v>0</v>
      </c>
      <c r="AK55" s="88">
        <f t="shared" ca="1" si="6"/>
        <v>0</v>
      </c>
      <c r="AL55" s="88">
        <f t="shared" ca="1" si="6"/>
        <v>0</v>
      </c>
      <c r="AM55" s="88">
        <f t="shared" ca="1" si="6"/>
        <v>0</v>
      </c>
      <c r="AN55" s="88">
        <f t="shared" ca="1" si="6"/>
        <v>0</v>
      </c>
      <c r="AO55" s="88">
        <f t="shared" ca="1" si="6"/>
        <v>0</v>
      </c>
      <c r="AP55" s="88">
        <f t="shared" ca="1" si="6"/>
        <v>0</v>
      </c>
      <c r="AQ55" s="88">
        <f t="shared" ca="1" si="6"/>
        <v>0</v>
      </c>
      <c r="AR55" s="88" t="e">
        <f t="shared" ca="1" si="6"/>
        <v>#DIV/0!</v>
      </c>
      <c r="AS55" s="88" t="e">
        <f t="shared" ca="1" si="6"/>
        <v>#DIV/0!</v>
      </c>
      <c r="AT55" s="88" t="e">
        <f t="shared" ca="1" si="6"/>
        <v>#DIV/0!</v>
      </c>
      <c r="AU55" s="88" t="e">
        <f t="shared" ca="1" si="6"/>
        <v>#DIV/0!</v>
      </c>
      <c r="AV55" s="88">
        <f t="shared" ca="1" si="6"/>
        <v>0</v>
      </c>
      <c r="AW55" s="88">
        <f t="shared" ca="1" si="6"/>
        <v>0</v>
      </c>
      <c r="AX55" s="88">
        <f t="shared" ca="1" si="6"/>
        <v>0</v>
      </c>
      <c r="AY55" s="88">
        <f t="shared" ca="1" si="6"/>
        <v>0</v>
      </c>
      <c r="AZ55" s="88">
        <f t="shared" ca="1" si="6"/>
        <v>0</v>
      </c>
      <c r="BA55" s="88">
        <f t="shared" ca="1" si="6"/>
        <v>0</v>
      </c>
      <c r="BB55" s="88">
        <f t="shared" ca="1" si="6"/>
        <v>0</v>
      </c>
      <c r="BC55" s="88">
        <f t="shared" ca="1" si="6"/>
        <v>0</v>
      </c>
      <c r="BD55" s="88">
        <f t="shared" ca="1" si="6"/>
        <v>0</v>
      </c>
      <c r="BE55" s="88">
        <f t="shared" ca="1" si="6"/>
        <v>0</v>
      </c>
      <c r="BF55" s="88">
        <f t="shared" ca="1" si="6"/>
        <v>0</v>
      </c>
      <c r="BG55" s="88">
        <f t="shared" ca="1" si="6"/>
        <v>0</v>
      </c>
      <c r="BI55" t="s">
        <v>1040</v>
      </c>
    </row>
    <row r="56" spans="1:61" ht="13.2">
      <c r="A56" s="260"/>
      <c r="B56" s="123"/>
      <c r="C56" s="123"/>
      <c r="D56" s="123"/>
      <c r="E56" s="168"/>
      <c r="F56" s="166"/>
      <c r="G56" s="166"/>
      <c r="H56" s="169"/>
      <c r="I56" s="169"/>
      <c r="J56" s="166"/>
      <c r="BI56" t="s">
        <v>1041</v>
      </c>
    </row>
    <row r="57" spans="1:61" ht="13.2">
      <c r="B57" s="167"/>
      <c r="C57" s="167"/>
      <c r="D57" s="167"/>
      <c r="E57" s="167"/>
      <c r="F57" s="167"/>
      <c r="G57" s="167"/>
      <c r="H57" s="167"/>
      <c r="I57" s="167"/>
      <c r="J57" s="88" t="s">
        <v>83</v>
      </c>
      <c r="K57" s="110" t="s">
        <v>956</v>
      </c>
      <c r="L57" s="110" t="s">
        <v>975</v>
      </c>
      <c r="M57" s="110" t="s">
        <v>976</v>
      </c>
      <c r="N57" s="116" t="s">
        <v>958</v>
      </c>
      <c r="O57" s="116" t="s">
        <v>959</v>
      </c>
      <c r="P57" s="116" t="s">
        <v>960</v>
      </c>
      <c r="Q57" s="146" t="s">
        <v>958</v>
      </c>
      <c r="R57" s="146" t="s">
        <v>959</v>
      </c>
      <c r="S57" s="146" t="s">
        <v>960</v>
      </c>
      <c r="T57" s="88" t="s">
        <v>977</v>
      </c>
      <c r="U57" s="108" t="s">
        <v>978</v>
      </c>
      <c r="V57" s="170" t="s">
        <v>979</v>
      </c>
      <c r="W57" s="171" t="s">
        <v>980</v>
      </c>
      <c r="X57" s="110" t="s">
        <v>975</v>
      </c>
      <c r="Y57" s="110" t="s">
        <v>976</v>
      </c>
      <c r="Z57" s="116" t="s">
        <v>958</v>
      </c>
      <c r="AA57" s="116" t="s">
        <v>959</v>
      </c>
      <c r="AB57" s="116" t="s">
        <v>960</v>
      </c>
      <c r="AC57" s="146" t="s">
        <v>958</v>
      </c>
      <c r="AD57" s="146" t="s">
        <v>959</v>
      </c>
      <c r="AE57" s="146" t="s">
        <v>960</v>
      </c>
      <c r="AF57" s="88" t="s">
        <v>977</v>
      </c>
      <c r="AG57" s="108" t="s">
        <v>978</v>
      </c>
      <c r="AH57" s="170" t="s">
        <v>979</v>
      </c>
      <c r="AI57" s="171" t="s">
        <v>980</v>
      </c>
      <c r="AJ57" s="110" t="s">
        <v>975</v>
      </c>
      <c r="AK57" s="110" t="s">
        <v>976</v>
      </c>
      <c r="AL57" s="116" t="s">
        <v>958</v>
      </c>
      <c r="AM57" s="116" t="s">
        <v>959</v>
      </c>
      <c r="AN57" s="116" t="s">
        <v>960</v>
      </c>
      <c r="AO57" s="146" t="s">
        <v>958</v>
      </c>
      <c r="AP57" s="146" t="s">
        <v>959</v>
      </c>
      <c r="AQ57" s="146" t="s">
        <v>960</v>
      </c>
      <c r="AR57" s="88" t="s">
        <v>977</v>
      </c>
      <c r="AS57" s="108" t="s">
        <v>978</v>
      </c>
      <c r="AT57" s="170" t="s">
        <v>979</v>
      </c>
      <c r="AU57" s="171" t="s">
        <v>980</v>
      </c>
      <c r="AV57" s="110" t="s">
        <v>975</v>
      </c>
      <c r="AW57" s="110" t="s">
        <v>976</v>
      </c>
      <c r="AX57" s="116" t="s">
        <v>958</v>
      </c>
      <c r="AY57" s="116" t="s">
        <v>959</v>
      </c>
      <c r="AZ57" s="116" t="s">
        <v>960</v>
      </c>
      <c r="BA57" s="146" t="s">
        <v>958</v>
      </c>
      <c r="BB57" s="146" t="s">
        <v>959</v>
      </c>
      <c r="BC57" s="146" t="s">
        <v>960</v>
      </c>
      <c r="BD57" s="88" t="s">
        <v>977</v>
      </c>
      <c r="BE57" s="108" t="s">
        <v>978</v>
      </c>
      <c r="BF57" s="170" t="s">
        <v>979</v>
      </c>
      <c r="BG57" s="171" t="s">
        <v>980</v>
      </c>
      <c r="BI57" t="s">
        <v>1042</v>
      </c>
    </row>
    <row r="58" spans="1:61" ht="12.9" customHeight="1">
      <c r="A58" s="260">
        <v>8</v>
      </c>
      <c r="B58" s="274" t="s">
        <v>982</v>
      </c>
      <c r="C58" s="147" t="s">
        <v>56</v>
      </c>
      <c r="D58" s="147" t="s">
        <v>57</v>
      </c>
      <c r="E58" s="147" t="s">
        <v>66</v>
      </c>
      <c r="F58" s="268" t="s">
        <v>963</v>
      </c>
      <c r="G58" s="268"/>
      <c r="H58" s="269" t="s">
        <v>965</v>
      </c>
      <c r="I58" s="269" t="s">
        <v>970</v>
      </c>
      <c r="J58" s="88">
        <f ca="1">IF(KLEJENIE!E$63=1,Kalk!AH31*2,Kalk!AH31)</f>
        <v>0</v>
      </c>
      <c r="K58" s="150">
        <f ca="1">IF(AND($C63=1,$J58&gt;0),IF($H60=100, SUM(L63:W63)+($BT$2*$B63), SUM(L63:W63)),IF(AND($B60=1,$J58&gt;0),SUM(L63:W63)+IF(AND($H63&gt;1,$F63=0), $H63*0.05-0.05, 0),0))</f>
        <v>0</v>
      </c>
      <c r="L58" s="150">
        <f ca="1">IF(AND($H60=0,$H63=0,$J58&lt;500,$J58&gt;0,$B63&lt;2,$F63=0),BJ58/$J58,0)</f>
        <v>0</v>
      </c>
      <c r="M58" s="150">
        <f ca="1">IF(AND($H60=0,$H63=0,$J58&lt;500,$J58&gt;0,$B63&gt;1.999,$F63=0),BK58/$J58,0)</f>
        <v>0</v>
      </c>
      <c r="N58" s="151">
        <f ca="1">IF(AND($H63&gt;0,$H60=25,$B63&lt;2,$J58&lt;500,$F63=0),BV61/$J58,0)</f>
        <v>0</v>
      </c>
      <c r="O58" s="151">
        <f ca="1">IF(AND($H63&gt;0,$H60=50,$B63&lt;2,$J58&gt;0,$J58&lt;500,$F63=0),150/$J58,0)</f>
        <v>0</v>
      </c>
      <c r="P58" s="151">
        <f ca="1">IF(AND($H63&gt;0,$H60=100,$J58&gt;0,$J58&lt;500,$B63&lt;2,$F63=0),(BV61/$J58)+($BT$2*$B63),0)</f>
        <v>0</v>
      </c>
      <c r="Q58" s="152">
        <f ca="1">IF(AND($H63&gt;0,$H60=25,$J58&gt;0,$J58&lt;500,$B63&gt;1.999,$F63=0),BV61/$J58,0)</f>
        <v>0</v>
      </c>
      <c r="R58" s="152">
        <f ca="1">IF(AND($H63&gt;0,$H60=50,$J58&lt;500,$B63&gt;1.999,$F63=0),150/$J58,0)</f>
        <v>0</v>
      </c>
      <c r="S58" s="152">
        <f ca="1">IF(AND($H63&gt;0,$H60=100,$J58&lt;500,$B63&gt;1.999,$F63=0),(BV61/$J58)+($BT$2*$B63),0)</f>
        <v>0</v>
      </c>
      <c r="T58" s="165">
        <f ca="1">IFERROR(IF(AND($H60=0,$H63=0,$G63&lt;&gt;0,$J58&lt;&gt;0,$J58/$G63&lt;500,$J58/$G63&gt;0,$F63=1),BP58/$J58,0),0)</f>
        <v>0</v>
      </c>
      <c r="U58" s="151">
        <f ca="1">IFERROR(IF(AND($H60&gt;0,$H63=1,$J58/$G63&lt;500,$J58/$G63&gt;0,$F63=1),BQ58/$J58,0),0)</f>
        <v>0</v>
      </c>
      <c r="V58" s="152">
        <f ca="1">IFERROR(IF(AND($H60&gt;0,$H63=2,$J58/$G63&lt;500,$J58/$G63&gt;0,$F63=1),BR58/$J58,0),0)</f>
        <v>0</v>
      </c>
      <c r="W58" s="172">
        <f ca="1">IFERROR(IF(AND($H60&gt;0,$H63=3,$J58/$G63&lt;500,$J58/$G63&gt;0,$F63=1),BS58/$J58,0),0)</f>
        <v>0</v>
      </c>
      <c r="X58" s="150">
        <f ca="1">IF(AND($H60=0,$H63=0,$J59&lt;500,$J59&gt;0,$B63&lt;2,$F63=0),BJ58/$J59,0)</f>
        <v>0</v>
      </c>
      <c r="Y58" s="150">
        <f ca="1">IF(AND($H60=0,$H63=0,$J59&lt;500,$J59&gt;0,$B63&gt;1.999,$F63=0),BK58/$J59,0)</f>
        <v>0</v>
      </c>
      <c r="Z58" s="151">
        <f ca="1">IF(AND($H63&gt;0,$H60=25,$B63&lt;2,$J59&lt;500,$F63=0),BV61/$J59,0)</f>
        <v>0</v>
      </c>
      <c r="AA58" s="151">
        <f ca="1">IF(AND($H63&gt;0,$H60=50,$B63&lt;2,$J59&lt;500,$F63=0),150/$J59,0)</f>
        <v>0</v>
      </c>
      <c r="AB58" s="151">
        <f ca="1">IF(AND($H63&gt;0,$H60=100,$J59&lt;500,$B63&lt;2,$F63=0),(BV61/$J59)+($BT$2*$B63),0)</f>
        <v>0</v>
      </c>
      <c r="AC58" s="152">
        <f ca="1">IF(AND($H63&gt;0,$H60=25,$J59&lt;500,$B63&gt;1.999,$F63=0),BV61/$J59,0)</f>
        <v>0</v>
      </c>
      <c r="AD58" s="152">
        <f ca="1">IF(AND($H63&gt;0,$H60=50,$J59&lt;500,$B63&gt;1.999,$F63=0),150/$J59,0)</f>
        <v>0</v>
      </c>
      <c r="AE58" s="152">
        <f ca="1">IF(AND($H63&gt;0,$H60=50,$B63&lt;2,$J59&gt;0,$J59&lt;500,$F63=0),150/$J59,0)</f>
        <v>0</v>
      </c>
      <c r="AF58" s="165">
        <f ca="1">IF(AND($H63&gt;0,$H60=100,$J59&gt;0,$J59&lt;500,$B63&lt;2,$F63=0),(BV61/$J59)+($BT$2*$B63),0)</f>
        <v>0</v>
      </c>
      <c r="AG58" s="151">
        <f ca="1">IF(AND($H63&gt;0,$H60=25,$J59&gt;0,$J59&lt;500,$B63&gt;1.999,$F63=0),BV61/$J59,0)</f>
        <v>0</v>
      </c>
      <c r="AH58" s="152">
        <f ca="1">IF(AND($H63&gt;0,$H60=50,$J59&gt;0,$J59&lt;500,$B63&gt;1.999,$F63=0),150/$J59,0)</f>
        <v>0</v>
      </c>
      <c r="AI58" s="172" t="e">
        <f ca="1">IF(AND($H60&gt;0,$H63=3,$G63&lt;&gt;0,$J59&gt;0,$J59/$G63&gt;0,$J59/$G63&lt;500,$F63=1),BS58/$J59,0)</f>
        <v>#DIV/0!</v>
      </c>
      <c r="AJ58" s="150">
        <f ca="1">IF(AND($H60=0,$H63=0,$J60&gt;0,$J60&lt;500,$B63&lt;2,$F63=0),BJ58/$J60,0)</f>
        <v>0</v>
      </c>
      <c r="AK58" s="150">
        <f ca="1">IF(AND($H60=0,$H63=0,$J60&gt;0,$J60&lt;500,$B63&gt;1.999,$F63=0),BK58/$J60,0)</f>
        <v>0</v>
      </c>
      <c r="AL58" s="151">
        <f ca="1">IF(AND($H63&gt;0,$H60=25,$B63&lt;2,$J60&gt;0,$J60&lt;500,$F63=0),BV61/$J60,0)</f>
        <v>0</v>
      </c>
      <c r="AM58" s="151">
        <f ca="1">IF(AND($H63&gt;0,$H60=50,$B63&lt;2,$J60&gt;0,$J60&lt;500,$F63=0),BV61/$J60,0)</f>
        <v>0</v>
      </c>
      <c r="AN58" s="151">
        <f ca="1">IF(AND($H63&gt;0,$H60=100,$J60&gt;0,$J60&lt;500,$B63&lt;2,$F63=0),(BV61/$J60)+($BT$2*$B63),0)</f>
        <v>0</v>
      </c>
      <c r="AO58" s="152">
        <f ca="1">IF(AND($H63&gt;0,$H60=25,$J60&gt;0,$J60&lt;500,$B63&gt;1.999,$F63=0),BV61/$J60,0)</f>
        <v>0</v>
      </c>
      <c r="AP58" s="152">
        <f ca="1">IF(AND($H63&gt;0,$H60=50,$J60&gt;0,$J60&lt;500,$B63&gt;1.999,$F63=0),150/$J60,0)</f>
        <v>0</v>
      </c>
      <c r="AQ58" s="152">
        <f ca="1">IF(AND($H63&gt;0,$H60=100,$J60&gt;0,$J60&lt;500,$B63&gt;1.999,$F63=0),(BV61/$J60)+($BT$2*$B63),0)</f>
        <v>0</v>
      </c>
      <c r="AR58" s="165" t="e">
        <f ca="1">IF(AND($H60=0,$H63=0,$G63&lt;&gt;0,$J60&gt;0,$J60/$G63&lt;500,$J60/$G63&gt;0,$F63=1),BP58/$J60,0)</f>
        <v>#DIV/0!</v>
      </c>
      <c r="AS58" s="151" t="e">
        <f ca="1">IF(AND($H60&gt;0,$H63=1,$G63&lt;&gt;0,$J60&gt;0,$J60/$G63&lt;500,$J60/$G63&gt;0,$F63=1),BQ58/$J60,0)</f>
        <v>#DIV/0!</v>
      </c>
      <c r="AT58" s="152" t="e">
        <f ca="1">IF(AND($H60&gt;0,$H63=2,$G63&lt;&gt;0,$J60&gt;0,$J60/$G63&lt;500,$J60/$G63&gt;0,$F63=1),BR58/$J60,0)</f>
        <v>#DIV/0!</v>
      </c>
      <c r="AU58" s="172" t="e">
        <f ca="1">IF(AND($H60&gt;0,$H63=3,$G63&lt;&gt;0,$J60&gt;0,$J60/$G63&lt;500,$J60/$G63&gt;0,$F63=1),BS58/$J60,0)</f>
        <v>#DIV/0!</v>
      </c>
      <c r="AV58" s="150">
        <f ca="1">IF(AND($H60=0,$H63=0,$J61&gt;0,$J61&lt;500,$B63&lt;2,$F63=0),BJ58/$J61,0)</f>
        <v>0</v>
      </c>
      <c r="AW58" s="150">
        <f ca="1">IF(AND($H60=0,$H63=0,$J61&gt;0,$J61&lt;500,$B63&gt;1.999,$F63=0),BK58/$J61,0)</f>
        <v>0</v>
      </c>
      <c r="AX58" s="151">
        <f ca="1">IF(AND($H63&gt;0,$H60=25,$B63&lt;2,$J61&gt;0,$J61&lt;500,$F63=0),BV61/$J61,0)</f>
        <v>0</v>
      </c>
      <c r="AY58" s="151">
        <f ca="1">IF(AND($H63&gt;0,$H60=50,$B63&lt;2,$J61&gt;0,$J61&lt;500,$F63=0),150/$J61,0)</f>
        <v>0</v>
      </c>
      <c r="AZ58" s="151">
        <f ca="1">IF(AND($H63&gt;0,$H60=100,$B63&lt;2,$J61&gt;0,$J61&lt;500,$F63=0),(BV61/$J61)+($BT$2*$B63),0)</f>
        <v>0</v>
      </c>
      <c r="BA58" s="152">
        <f ca="1">IF(AND($H63&gt;0,$H60=25,$J61&gt;0,$J61&lt;500,$B63&gt;1.999,$F63=0),BV61/$J61,0)</f>
        <v>0</v>
      </c>
      <c r="BB58" s="152">
        <f ca="1">IF(AND($H63&gt;0,$H60=50,$J61&gt;0,$J61&lt;500,$B63&gt;1.999,$F63=0),150/$J61,0)</f>
        <v>0</v>
      </c>
      <c r="BC58" s="152">
        <f ca="1">IF(AND($H63&gt;0,$H60=100,$J61&gt;0,$J61&lt;500,$B63&gt;1.999,$F63=0),(BV61/$J61)+($BT$2*$B63),0)</f>
        <v>0</v>
      </c>
      <c r="BD58" s="165">
        <f ca="1">IFERROR(IF(AND($H60=0,$H63=0,$G63&lt;&gt;0,$J61&gt;0,$J61/$G63&lt;500,$J61/$G63&gt;0,$F63=1),BP58/$J61,0),0)</f>
        <v>0</v>
      </c>
      <c r="BE58" s="151">
        <f ca="1">IFERROR(IF(AND($H60&gt;0,$H63=1,$G63&lt;&gt;0,$J61&gt;0,$J61/$G63&lt;500,$J61/$G63&gt;0,$F63=1),BQ58/$J61,0),0)</f>
        <v>0</v>
      </c>
      <c r="BF58" s="152">
        <f ca="1">IFERROR(IF(AND($H60&gt;0,$H63=2,$G63&lt;&gt;0,$J61&gt;0,$J61/$G63&lt;500,$J61/$G63&gt;0,$F63=1),BR58/$J61,0),0)</f>
        <v>0</v>
      </c>
      <c r="BG58" s="172">
        <f ca="1">IFERROR(IF(AND($H60&gt;0,$H63=3,$G63&lt;&gt;0,$J61&gt;0,$J61/$G63&lt;500,$J61/$G63&gt;0,$F63=1),BS58/$J61,0),0)</f>
        <v>0</v>
      </c>
      <c r="BI58" t="s">
        <v>1043</v>
      </c>
    </row>
    <row r="59" spans="1:61" ht="13.2">
      <c r="A59" s="260"/>
      <c r="B59" s="274"/>
      <c r="C59" s="174">
        <f>Kalk!C32</f>
        <v>0</v>
      </c>
      <c r="D59" s="174">
        <f>Kalk!E32</f>
        <v>0</v>
      </c>
      <c r="E59" s="147">
        <f>Kalk!G32</f>
        <v>0</v>
      </c>
      <c r="F59" s="147">
        <f ca="1">IF(KLEJENIE!E63=1,Kalk!H32,Kalk!I32)</f>
        <v>47</v>
      </c>
      <c r="G59" s="147">
        <f ca="1">Kalk!I34</f>
        <v>8</v>
      </c>
      <c r="H59" s="269"/>
      <c r="I59" s="269"/>
      <c r="J59" s="88">
        <f ca="1">IF(KLEJENIE!E$63=1,Kalk!AH32*2,Kalk!AH32)</f>
        <v>0</v>
      </c>
      <c r="K59" s="150">
        <f ca="1">IF(AND($C63=1,$J59&gt;0),IF($H60=100, SUM(X63:AI63)+($BT$2*$B63), SUM(X63:AI63)),IF(AND($B60=1,$J59&gt;0),SUM(X63:AI63) + IF(AND($H63&gt;1,$F63=0), $H63*0.05-0.05, 0),0))</f>
        <v>0</v>
      </c>
      <c r="L59" s="150">
        <f ca="1">IF(AND($H60=0,$H63=0,$B63&lt;2,$J58&gt;499,$J58&lt;1000,$F63=0),$BJ$3,0)</f>
        <v>0</v>
      </c>
      <c r="M59" s="150">
        <f ca="1">IF(AND($H60=0,$H63=0,$B63&gt;1.999,$J58&gt;499,$J58&lt;1000,$F63=0),$BK$3,0)</f>
        <v>0</v>
      </c>
      <c r="N59" s="151">
        <f ca="1">IF(AND($H60=25,$H63&gt;0,$B63&lt;2,$J58&gt;499,$J58&lt;1000,$F63=0),$BL$3,0)</f>
        <v>0</v>
      </c>
      <c r="O59" s="151">
        <f ca="1">IF(AND($H60=50,$H63&gt;0,$B63&lt;2,$J58&gt;499,$J58&lt;1000,$F63=0),$BM$3,0)</f>
        <v>0</v>
      </c>
      <c r="P59" s="151">
        <f ca="1">IF(AND($H60=100,$H63&gt;0,$J58&gt;499,$J58&lt;1000,$B63&lt;2,$F63=0),$BM$3+($BT$2*$B63),0)</f>
        <v>0</v>
      </c>
      <c r="Q59" s="152">
        <f ca="1">IF(AND($H60=25,$H63&gt;0,$B63&gt;1.999,$J58&gt;499,$J58&lt;1000,$F63=0),$BN$3,0)</f>
        <v>0</v>
      </c>
      <c r="R59" s="152">
        <f ca="1">IF(AND($H60=50,$H63&gt;0,$J58&gt;499,$J58&lt;1000,$B63&gt;1.999,$F63=0),$BO$3,0)</f>
        <v>0</v>
      </c>
      <c r="S59" s="152">
        <f ca="1">IF(AND($H60=100,$H63&gt;0,$J58&gt;499,$J58&lt;1000,$B63&gt;1.999,$F63=0),$BO$3+($BT$2*$B63),0)</f>
        <v>0</v>
      </c>
      <c r="T59" s="165">
        <f ca="1">IFERROR(IF(AND($H60=0,$H63=0,$J58/$G63&lt;1000,$J58/$G63&gt;499,$F63=1),$BP$3/$G63,0),0)</f>
        <v>0</v>
      </c>
      <c r="U59" s="151">
        <f ca="1">IFERROR(IF(AND($H60&gt;0,$H63=1,$J58/$G63&lt;1000,$J58/$G63&gt;499,$F63=1),$BQ$3/$G63,0),0)</f>
        <v>0</v>
      </c>
      <c r="V59" s="152">
        <f ca="1">IFERROR(IF(AND($H60&gt;0,$H63=2,$J58/$G63&lt;1000,$J58/$G63&gt;499,$F63=1),$BR$3/$G63,0),0)</f>
        <v>0</v>
      </c>
      <c r="W59" s="172">
        <f ca="1">IFERROR(IF(AND($H60&gt;0,$H63=3,$J58/$G63&lt;1000,$J58/$G63&gt;499,$F63=1),$BS$3/$G63,0),0)</f>
        <v>0</v>
      </c>
      <c r="X59" s="150">
        <f ca="1">IF(AND($H60=0,$H63=0,$B63&lt;2,$J59&gt;499,$J59&lt;1000,$F63=0),$BJ$3,0)</f>
        <v>0</v>
      </c>
      <c r="Y59" s="150">
        <f ca="1">IF(AND($H60=0,$H63=0,$B63&gt;1.999,$J59&gt;499,$J59&lt;1000,$F63=0),$BK$3,0)</f>
        <v>0</v>
      </c>
      <c r="Z59" s="151">
        <f ca="1">IF(AND($H60=25,$H63&gt;0,$B63&lt;2,$J59&gt;499,$J59&lt;1000,$F63=0),$BL$3,0)</f>
        <v>0</v>
      </c>
      <c r="AA59" s="151">
        <f ca="1">IF(AND($H60=50,$H63&gt;0,$B63&lt;2,$J59&gt;499,$J59&lt;1000,$F63=0),$BM$3,0)</f>
        <v>0</v>
      </c>
      <c r="AB59" s="151">
        <f ca="1">IF(AND($H60=100,$H63&gt;0,$J59&gt;499,$J59&lt;1000,$B63&lt;2,$F63=0),$BM$3+($BT$2*$B63),0)</f>
        <v>0</v>
      </c>
      <c r="AC59" s="152">
        <f ca="1">IF(AND($H60=25,$H63&gt;0,$B63&gt;1.999,$J59&gt;499,$J59&lt;1000,$F63=0),$BN$3,0)</f>
        <v>0</v>
      </c>
      <c r="AD59" s="152">
        <f ca="1">IF(AND($H60=50,$H63&gt;0,$J59&gt;499,$J59&lt;1000,$B63&gt;1.999,$F63=0),$BO$3,0)</f>
        <v>0</v>
      </c>
      <c r="AE59" s="152">
        <f ca="1">IF(AND($H60=50,$H63&gt;0,$B63&lt;2,$J59&gt;499,$J59&lt;1000,$F63=0),$BM$3,0)</f>
        <v>0</v>
      </c>
      <c r="AF59" s="165">
        <f ca="1">IF(AND($H60=100,$H63&gt;0,$J59&gt;499,$J59&lt;1000,$B63&lt;2,$F63=0),$BM$3+($BT$2*$B63),0)</f>
        <v>0</v>
      </c>
      <c r="AG59" s="151">
        <f ca="1">IF(AND($H60=25,$H63&gt;0,$B63&gt;1.999,$J59&gt;499,$J59&lt;1000,$F63=0),$BN$3,0)</f>
        <v>0</v>
      </c>
      <c r="AH59" s="152">
        <f ca="1">IF(AND($H60=50,$H63&gt;0,$J59&gt;499,$J59&lt;1000,$B63&gt;1.999,$F63=0),$BO$3,0)</f>
        <v>0</v>
      </c>
      <c r="AI59" s="172" t="e">
        <f ca="1">IF(AND($H60&gt;0,$H63=3,$G63&lt;&gt;0,$J59/$G63&gt;499,$J59/$G63&lt;1000,$F63=1),$BS$3/$G63,0)</f>
        <v>#DIV/0!</v>
      </c>
      <c r="AJ59" s="150">
        <f ca="1">IF(AND($H60=0,$H63=0,$B63&lt;2,$J60&gt;499,$J60&lt;1000,$F63=0),$BJ$3,0)</f>
        <v>0</v>
      </c>
      <c r="AK59" s="150">
        <f ca="1">IF(AND($H60=0,$H63=0,$B63&gt;1.999,$J60&gt;499,$J60&lt;1000,$F63=0),$BK$3,0)</f>
        <v>0</v>
      </c>
      <c r="AL59" s="151">
        <f ca="1">IF(AND($H60=25,$H63&gt;0,$B63&lt;2,$J60&gt;499,$J60&lt;1000,$F63=0),$BL$3,0)</f>
        <v>0</v>
      </c>
      <c r="AM59" s="151">
        <f ca="1">IF(AND($H60=50,$H63&gt;0,$B63&lt;2,$J60&gt;499,$J60&lt;1000,$F63=0),$BM$3,0)</f>
        <v>0</v>
      </c>
      <c r="AN59" s="151">
        <f ca="1">IF(AND($H60=100,$H63&gt;0,$J60&gt;499,$J60&lt;1000,$B63&lt;2,$F63=0),$BM$3+($BT$2*$B63),0)</f>
        <v>0</v>
      </c>
      <c r="AO59" s="152">
        <f ca="1">IF(AND($H60=25,$H63&gt;0,$B63&gt;1.999,$J60&gt;499,$J60&lt;1000,$F63=0),$BN$3,0)</f>
        <v>0</v>
      </c>
      <c r="AP59" s="152">
        <f ca="1">IF(AND($H60=50,$H63&gt;0,$J60&gt;499,$J60&lt;1000,$B63&gt;1.999,$F63=0),$BO$3,0)</f>
        <v>0</v>
      </c>
      <c r="AQ59" s="152">
        <f ca="1">IF(AND($H60=100,$H63&gt;0,$J60&gt;499,$J60&lt;1000,$B63&gt;1.999,$F63=0),$BO$3+($BT$2*$B63),0)</f>
        <v>0</v>
      </c>
      <c r="AR59" s="165" t="e">
        <f ca="1">IF(AND($H60=0,$H63=0,$G63&lt;&gt;0,$J60/$G63&lt;1000,$J60/$G63&gt;499,$F63=1),$BP$3/$G63,0)</f>
        <v>#DIV/0!</v>
      </c>
      <c r="AS59" s="151" t="e">
        <f ca="1">IF(AND($H60&gt;0,$H63=1,$G63&lt;&gt;0,$J60/$G63&lt;1000,$J60/$G63&gt;499,$F63=1),$BQ$3/$G63,0)</f>
        <v>#DIV/0!</v>
      </c>
      <c r="AT59" s="152" t="e">
        <f ca="1">IF(AND($H60&gt;0,$H63=2,$G63&lt;&gt;0,$J60/$G63&lt;1000,$J60/$G63&gt;499,$F63=1),$BR$3/$G63,0)</f>
        <v>#DIV/0!</v>
      </c>
      <c r="AU59" s="172" t="e">
        <f ca="1">IF(AND($H60&gt;0,$H63=3,$G63&lt;&gt;0,$J60/$G63&lt;1000,$J60/$G63&gt;499,$F63=1),$BS$3/$G63,0)</f>
        <v>#DIV/0!</v>
      </c>
      <c r="AV59" s="150">
        <f ca="1">IF(AND($H60=0,$H63=0,$B63&lt;2,$J61&gt;499,$J61&lt;1000,$F63=0),$BJ$3,0)</f>
        <v>0</v>
      </c>
      <c r="AW59" s="150">
        <f ca="1">IF(AND($H60=0,$H63=0,$B63&gt;1.999,$J61&gt;499,$J61&lt;1000,$F63=0),$BK$3,0)</f>
        <v>0</v>
      </c>
      <c r="AX59" s="151">
        <f ca="1">IF(AND($H60=25,$H63&gt;0,$B63&lt;2,$J61&gt;499,$J61&lt;1000,$F63=0),$BL$3,0)</f>
        <v>0</v>
      </c>
      <c r="AY59" s="151">
        <f ca="1">IF(AND($H60=50,$H63&gt;0,$B63&lt;2,$J61&gt;499,$J61&lt;1000,$F63=0),$BM$3,0)</f>
        <v>0</v>
      </c>
      <c r="AZ59" s="151">
        <f ca="1">IF(AND($H60=100,$H63&gt;0,$B63&lt;2,$J61&gt;499,$J61&lt;1000,$F63=0),$BM$3+($BT$2*$B63),0)</f>
        <v>0</v>
      </c>
      <c r="BA59" s="152">
        <f ca="1">IF(AND($H60=25,$H63&gt;0,$B63&gt;1.999,$J61&gt;499,$J61&lt;1000,$F63=0),$BN$3,0)</f>
        <v>0</v>
      </c>
      <c r="BB59" s="152">
        <f ca="1">IF(AND($H60=50,$H63&gt;0,$J61&gt;499,$J61&lt;1000,$B63&gt;1.999,$F63=0),$BO$3,0)</f>
        <v>0</v>
      </c>
      <c r="BC59" s="152">
        <f ca="1">IF(AND($H60=100,$H63&gt;0,$J61&gt;499,$J61&lt;1000,$B63&gt;1.999,$F63=0),$BO$3+($BT$2*$B63),0)</f>
        <v>0</v>
      </c>
      <c r="BD59" s="165">
        <f ca="1">IFERROR(IF(AND($H60=0,$H63=0,$G63&lt;&gt;0,$J61/$G63&lt;1000,$J61/$G63&gt;499,$F63=1),$BP$3/$G63,0),0)</f>
        <v>0</v>
      </c>
      <c r="BE59" s="151">
        <f ca="1">IFERROR(IF(AND($H60&gt;0,$H63=1,$G63&lt;&gt;0,$J61/$G63&lt;1000,$J61/$G63&gt;499,$F63=1),$BQ$3/$G63,0),0)</f>
        <v>0</v>
      </c>
      <c r="BF59" s="152">
        <f ca="1">IFERROR(IF(AND($H60&gt;0,$H63=2,$G63&lt;&gt;0,$J61/$G63&lt;1000,$J61/$G63&gt;499,$F63=1),$BR$3/$G63,0),0)</f>
        <v>0</v>
      </c>
      <c r="BG59" s="172">
        <f ca="1">IFERROR(IF(AND($H60&gt;0,$H63=3,$G63&lt;&gt;0,$J61/$G63&lt;1000,$J61/$G63&gt;499,$F63=1),$BS$3/$G63,0),0)</f>
        <v>0</v>
      </c>
      <c r="BI59" t="s">
        <v>1044</v>
      </c>
    </row>
    <row r="60" spans="1:61" ht="13.2">
      <c r="A60" s="260"/>
      <c r="B60" s="153">
        <f ca="1">IF(SUM(C60:G60)+I60=6,1,0)</f>
        <v>0</v>
      </c>
      <c r="C60" s="88">
        <f ca="1">IF(KLEJENIE!E63=1,1,IF(AND(C59&gt;267,C59&lt;2251),1,0))</f>
        <v>0</v>
      </c>
      <c r="D60" s="88">
        <f>IF((D59&gt;=50)*AND(D59&lt;1001),1,0)</f>
        <v>0</v>
      </c>
      <c r="E60" s="88">
        <f>IF((E59&gt;49)*AND(E59&lt;1401),1,0)</f>
        <v>0</v>
      </c>
      <c r="F60" s="88">
        <f ca="1">IF((F59&gt;599)*AND(F59&lt;2856),1,0)</f>
        <v>0</v>
      </c>
      <c r="G60" s="88" cm="1">
        <f t="array" aca="1" ref="G60" ca="1">IF(AND(G59&gt;399, IF(C63=1, G59&lt;1581, INDIRECT("'"&amp;Kalk!B32&amp;"'!L3")=1)),1,0)</f>
        <v>0</v>
      </c>
      <c r="H60" s="154">
        <f>Kalk!M59</f>
        <v>0</v>
      </c>
      <c r="I60" s="154">
        <f ca="1">IF(E59+((G59-E59)/2)&lt;1590,1,0)</f>
        <v>1</v>
      </c>
      <c r="J60" s="88">
        <f ca="1">IF(KLEJENIE!E$63=1,Kalk!AH33*2,Kalk!AH33)</f>
        <v>0</v>
      </c>
      <c r="K60" s="150">
        <f ca="1">IF(AND($C63=1,$J60&gt;0),IF($H60=100, SUM(AJ63:AU63)+($BT$2*$B63), SUM(AJ63:AU63)),IF(AND($B60=1,$J60&gt;0),SUM(AJ63:AU63) + IF(AND($H63&gt;1,$F63=0), $H63*0.05-0.05, 0),0))</f>
        <v>0</v>
      </c>
      <c r="L60" s="150">
        <f ca="1">IF(AND($H60=0,$H63=0,$B63&lt;2,$J58&gt;999,$J58&lt;3000,$F63=0),$BJ$4,0)</f>
        <v>0</v>
      </c>
      <c r="M60" s="150">
        <f ca="1">IF(AND($H60=0,$H63=0,$B63&gt;1.999,$J58&gt;999,$J58&lt;3000,$F63=0),$BK$4,0)</f>
        <v>0</v>
      </c>
      <c r="N60" s="151">
        <f ca="1">IF(AND($H60=25,$H63&gt;0,$B63&lt;2,$J58&gt;999,$J58&lt;3000,$F63=0),$BL$4,0)</f>
        <v>0</v>
      </c>
      <c r="O60" s="151">
        <f ca="1">IF(AND($H60=50,$H63&gt;0,$B63&lt;2,$J58&gt;999,$J58&lt;3000,$F63=0),$BM$4,0)</f>
        <v>0</v>
      </c>
      <c r="P60" s="151">
        <f ca="1">IF(AND($H60=100,$H63&gt;0,$B63&lt;2,$J58&gt;999,$J58&lt;3000,$F63=0),$BM$4+($BT$2*$B63),0)</f>
        <v>0</v>
      </c>
      <c r="Q60" s="152">
        <f ca="1">IF(AND($H60=25,$H63&gt;0,$B63&gt;1.999,$J58&gt;999,$J58&lt;3000,$F63=0),$BN$4,0)</f>
        <v>0</v>
      </c>
      <c r="R60" s="152">
        <f ca="1">IF(AND($H60=50,$H63&gt;0,$B63&gt;1.999,$J58&gt;999,$J58&lt;3000,$F63=0),$BO$4,0)</f>
        <v>0</v>
      </c>
      <c r="S60" s="152">
        <f ca="1">IF(AND($H60=100,$H63&gt;0,$J58&gt;999,$J58&lt;3000,$B63&gt;1.999,$F63=0),$BO$4+($BT$2*$B63),0)</f>
        <v>0</v>
      </c>
      <c r="T60" s="165">
        <f ca="1">IFERROR(IF(AND($H60=0,$H63=0,$J58/$G63&lt;3000,$J58/$G63&gt;999,$F63=1),$BP$4/$G63,0),0)</f>
        <v>0</v>
      </c>
      <c r="U60" s="151">
        <f ca="1">IFERROR(IF(AND($H60&gt;0,$H63=1,$J58/$G63&lt;3000,$J58/$G63&gt;999,$F63=1),$BQ$4/$G63,0),0)</f>
        <v>0</v>
      </c>
      <c r="V60" s="152">
        <f ca="1">IFERROR(IF(AND($H60&gt;0,$H63=2,$J58/$G63&lt;3000,$J58/$G63&gt;999,$F63=1),$BR$4/$G63,0),0)</f>
        <v>0</v>
      </c>
      <c r="W60" s="172">
        <f ca="1">IFERROR(IF(AND($H60&gt;0,$H63=3,$J58/$G63&lt;3000,$J58/$G63&gt;999,$F63=1),$BS$4/$G63,0),0)</f>
        <v>0</v>
      </c>
      <c r="X60" s="150">
        <f ca="1">IF(AND($H60=0,$H63=0,$B63&lt;2,$J59&gt;999,$J59&lt;3000,$F63=0),$BJ$4,0)</f>
        <v>0</v>
      </c>
      <c r="Y60" s="150">
        <f ca="1">IF(AND($H60=0,$H63=0,$B63&gt;1.999,$J59&gt;999,$J59&lt;3000,$F63=0),$BK$4,0)</f>
        <v>0</v>
      </c>
      <c r="Z60" s="151">
        <f ca="1">IF(AND($H60=25,$H63&gt;0,$B63&lt;2,$J59&gt;999,$J59&lt;3000,$F63=0),$BL$4,0)</f>
        <v>0</v>
      </c>
      <c r="AA60" s="151">
        <f ca="1">IF(AND($H60=50,$H63&gt;0,$B63&lt;2,$J59&gt;999,$J59&lt;3000,$F63=0),$BM$4,0)</f>
        <v>0</v>
      </c>
      <c r="AB60" s="151">
        <f ca="1">IF(AND($H60=100,$H63&gt;0,$B63&lt;2,$J59&gt;999,$J59&lt;3000,$F63=0),$BM$4+($BT$2*$B63),0)</f>
        <v>0</v>
      </c>
      <c r="AC60" s="152">
        <f ca="1">IF(AND($H60=25,$H63&gt;0,$B63&gt;1.999,$J59&gt;999,$J59&lt;3000,$F63=0),$BN$4,0)</f>
        <v>0</v>
      </c>
      <c r="AD60" s="152">
        <f ca="1">IF(AND($H60=50,$H63&gt;0,$B63&gt;1.999,$J59&gt;999,$J59&lt;3000,$F63=0),$BO$4,0)</f>
        <v>0</v>
      </c>
      <c r="AE60" s="152">
        <f ca="1">IF(AND($H60=50,$H63&gt;0,$B63&lt;2,$J59&gt;999,$J59&lt;3000,$F63=0),$BM$4,0)</f>
        <v>0</v>
      </c>
      <c r="AF60" s="165">
        <f ca="1">IF(AND($H60=100,$H63&gt;0,$B63&lt;2,$J59&gt;999,$J59&lt;3000,$F63=0),$BM$4+($BT$2*$B63),0)</f>
        <v>0</v>
      </c>
      <c r="AG60" s="151">
        <f ca="1">IF(AND($H60=25,$H63&gt;0,$B63&gt;1.999,$J59&gt;999,$J59&lt;3000,$F63=0),$BN$4,0)</f>
        <v>0</v>
      </c>
      <c r="AH60" s="152">
        <f ca="1">IF(AND($H60=50,$H63&gt;0,$B63&gt;1.999,$J59&gt;999,$J59&lt;3000,$F63=0),$BO$4,0)</f>
        <v>0</v>
      </c>
      <c r="AI60" s="172" t="e">
        <f ca="1">IF(AND($H60&gt;0,$H63=3,$G63&lt;&gt;0,$J59/$G63&gt;999,$J59/$G63&lt;3000,$F63=1),$BS$4/$G63,0)</f>
        <v>#DIV/0!</v>
      </c>
      <c r="AJ60" s="150">
        <f ca="1">IF(AND($H60=0,$H63=0,$B63&lt;2,$J60&gt;999,$J60&lt;3000,$F63=0),$BJ$4,0)</f>
        <v>0</v>
      </c>
      <c r="AK60" s="150">
        <f ca="1">IF(AND($H60=0,$H63=0,$B63&gt;1.999,$J60&gt;999,$J60&lt;3000,$F63=0),$BK$4,0)</f>
        <v>0</v>
      </c>
      <c r="AL60" s="151">
        <f ca="1">IF(AND($H60=25,$H63&gt;0,$B63&lt;2,$J60&gt;999,$J60&lt;3000,$F63=0),$BL$4,0)</f>
        <v>0</v>
      </c>
      <c r="AM60" s="151">
        <f ca="1">IF(AND($H60=50,$H63&gt;0,$B63&lt;2,$J60&gt;999,$J60&lt;3000,$F63=0),$BM$4,0)</f>
        <v>0</v>
      </c>
      <c r="AN60" s="151">
        <f ca="1">IF(AND($H60=100,$H63&gt;0,$B63&lt;2,$J60&gt;999,$J60&lt;3000,$F63=0),$BM$4+($BT$2*$B63),0)</f>
        <v>0</v>
      </c>
      <c r="AO60" s="152">
        <f ca="1">IF(AND($H60=25,$H63&gt;0,$B63&gt;1.999,$J60&gt;999,$J60&lt;3000,$F63=0),$BN$4,0)</f>
        <v>0</v>
      </c>
      <c r="AP60" s="152">
        <f ca="1">IF(AND($H60=50,$H63&gt;0,$B63&gt;1.999,$J60&gt;999,$J60&lt;3000,$F63=0),$BO$4,0)</f>
        <v>0</v>
      </c>
      <c r="AQ60" s="152">
        <f ca="1">IF(AND($H60=100,$H63&gt;0,$J60&gt;999,$J60&lt;3000,$B63&gt;1.999,$F63=0),$BO$4+($BT$2*$B63),0)</f>
        <v>0</v>
      </c>
      <c r="AR60" s="165" t="e">
        <f ca="1">IF(AND($H60=0,$H63=0,$G63&lt;&gt;0,$J60/$G63&lt;3000,$J60/$G63&gt;999,$F63=1),$BP$4/$G63,0)</f>
        <v>#DIV/0!</v>
      </c>
      <c r="AS60" s="151" t="e">
        <f ca="1">IF(AND($H60&gt;0,$H63=1,$G63&lt;&gt;0,$J60/$G63&lt;3000,$J60/$G63&gt;999,$F63=1),$BQ$4/$G63,0)</f>
        <v>#DIV/0!</v>
      </c>
      <c r="AT60" s="152" t="e">
        <f ca="1">IF(AND($H60&gt;0,$H63=2,$G63&lt;&gt;0,$J60/$G63&lt;3000,$J60/$G63&gt;999,$F63=1),$BR$4/$G63,0)</f>
        <v>#DIV/0!</v>
      </c>
      <c r="AU60" s="172" t="e">
        <f ca="1">IF(AND($H60&gt;0,$H63=3,$G63&lt;&gt;0,$J60/$G63&lt;3000,$J60/$G63&gt;999,$F63=1),$BS$4/$G63,0)</f>
        <v>#DIV/0!</v>
      </c>
      <c r="AV60" s="150">
        <f ca="1">IF(AND($H60=0,$H63=0,$B63&lt;2,$J61&gt;999,$J61&lt;3000,$F63=0),$BJ$4,0)</f>
        <v>0</v>
      </c>
      <c r="AW60" s="150">
        <f ca="1">IF(AND($H60=0,$H63=0,$B63&gt;1.999,$J61&gt;999,$J61&lt;3000,$F63=0),$BK$4,0)</f>
        <v>0</v>
      </c>
      <c r="AX60" s="151">
        <f ca="1">IF(AND($H60=25,$H63&gt;0,$B63&lt;2,$J61&gt;999,$J61&lt;3000,$F63=0),$BL$4,0)</f>
        <v>0</v>
      </c>
      <c r="AY60" s="151">
        <f ca="1">IF(AND($H60=50,$H63&gt;0,$B63&lt;2,$J61&gt;999,$J61&lt;3000,$F63=0),$BM$4,0)</f>
        <v>0</v>
      </c>
      <c r="AZ60" s="151">
        <f ca="1">IF(AND($H60=100,$H63&gt;0,$B63&lt;2,$J61&gt;999,$J61&lt;3000,$F63=0),$BM$4+($BT$2*$B63),0)</f>
        <v>0</v>
      </c>
      <c r="BA60" s="152">
        <f ca="1">IF(AND($H60=25,$H63&gt;0,$B63&gt;1.999,$J61&gt;999,$J61&lt;3000,$F63=0),$BN$4,0)</f>
        <v>0</v>
      </c>
      <c r="BB60" s="152">
        <f ca="1">IF(AND($H60=50,$H63&gt;0,$B63&gt;1.999,$J61&gt;999,$J61&lt;3000,$F63=0),$BO$4,0)</f>
        <v>0</v>
      </c>
      <c r="BC60" s="152">
        <f ca="1">IF(AND($H60=100,$H63&gt;0,$J61&gt;999,$J61&lt;3000,$B63&gt;1.999,$F63=0),$BO$4+($BT$2*$B63),0)</f>
        <v>0</v>
      </c>
      <c r="BD60" s="165">
        <f ca="1">IFERROR(IF(AND($H60=0,$H63=0,$G63&lt;&gt;0,$J61/$G63&lt;3000,$J61/$G63&gt;999,$F63=1),$BP$4/$G63,0),0)</f>
        <v>0</v>
      </c>
      <c r="BE60" s="151">
        <f ca="1">IFERROR(IF(AND($H60&gt;0,$H63=1,$G63&lt;&gt;0,$J61/$G63&lt;3000,$J61/$G63&gt;999,$F63=1),$BQ$4/$G63,0),0)</f>
        <v>0</v>
      </c>
      <c r="BF60" s="152">
        <f ca="1">IFERROR(IF(AND($H60&gt;0,$H63=2,$G63&lt;&gt;0,$J61/$G63&lt;3000,$J61/$G63&gt;999,$F63=1),$BR$4/$G63,0),0)</f>
        <v>0</v>
      </c>
      <c r="BG60" s="172">
        <f ca="1">IFERROR(IF(AND($H60&gt;0,$H63=3,$G63&lt;&gt;0,$J61/$G63&lt;3000,$J61/$G63&gt;999,$F63=1),$BS$4/$G63,0),0)</f>
        <v>0</v>
      </c>
      <c r="BI60" t="s">
        <v>1045</v>
      </c>
    </row>
    <row r="61" spans="1:61" ht="23.85" customHeight="1">
      <c r="A61" s="260"/>
      <c r="B61" s="275" t="s">
        <v>968</v>
      </c>
      <c r="C61" s="274" t="s">
        <v>986</v>
      </c>
      <c r="D61" s="268" t="s">
        <v>987</v>
      </c>
      <c r="E61" s="268"/>
      <c r="F61" s="275" t="s">
        <v>988</v>
      </c>
      <c r="G61" s="149" t="s">
        <v>989</v>
      </c>
      <c r="H61" s="269" t="s">
        <v>971</v>
      </c>
      <c r="I61" s="149"/>
      <c r="J61" s="88">
        <f ca="1">IF(KLEJENIE!E$63=1,Kalk!AH34*2,Kalk!AH34)</f>
        <v>0</v>
      </c>
      <c r="K61" s="150">
        <f ca="1">IF(AND($C63=1,$J61&gt;0),IF($H60=100, SUM(AV63:BG63)+($BT$2*$B63), SUM(AV63:BG63)),IF(AND($B60=1,$J61&gt;0),SUM(AV63:BG63) + IF(AND($H63&gt;1,$F63=0), $H63*0.05-0.05, 0),0))</f>
        <v>0</v>
      </c>
      <c r="L61" s="150">
        <f ca="1">IF(AND($H60=0,$H63=0,$B63&lt;2,$J58&gt;2999,$F63=0),$BJ$5,0)</f>
        <v>0</v>
      </c>
      <c r="M61" s="150">
        <f ca="1">IF(AND($H60=0,$H63=0,$B63&gt;1.999,$J58&gt;2999,$F63=0),$BK$5,0)</f>
        <v>0</v>
      </c>
      <c r="N61" s="151">
        <f ca="1">IF(AND($H60=25,$H63&gt;0,$B63&lt;2,$J58&gt;2999,$F63=0),$BL$5,0)</f>
        <v>0</v>
      </c>
      <c r="O61" s="151">
        <f ca="1">IF(AND($H60=50,$H63&gt;0,$B63&lt;2,$J58&gt;2999,$F63=0),$BM$5,0)</f>
        <v>0</v>
      </c>
      <c r="P61" s="151">
        <f ca="1">IF(AND($H60=100,$H63&gt;0,$J58&gt;2999,$B63&lt;2,$F63=0),$BM$5+($BT$2*$B63),0)</f>
        <v>0</v>
      </c>
      <c r="Q61" s="152">
        <f ca="1">IF(AND($H60=25,$H63&gt;0,$B63&gt;1.999,$J58&gt;2999,$F63=0),$BN$5,0)</f>
        <v>0</v>
      </c>
      <c r="R61" s="152">
        <f ca="1">IF(AND($H60=50,$H63&gt;0,$B63&gt;1.999,$J58&gt;2999,$F63=0),$BO$5,0)</f>
        <v>0</v>
      </c>
      <c r="S61" s="152">
        <f ca="1">IF(AND($H60=100,$H63&gt;0,$J58&gt;2999,$B63&gt;1.999,$F63=0),$BO$5+($BT$2*$B63),0)</f>
        <v>0</v>
      </c>
      <c r="T61" s="165">
        <f ca="1">IFERROR(IF(AND($H60=0,$H63=0,$J58/$G63&gt;2999,$F63=1),$BP$5/$G63,0),0)</f>
        <v>0</v>
      </c>
      <c r="U61" s="151">
        <f ca="1">IFERROR(IF(AND($H60&gt;0,$H63=1,$J58/$G63&gt;2999,$F63=1),$BQ$5/$G63,0),0)</f>
        <v>0</v>
      </c>
      <c r="V61" s="152">
        <f ca="1">IFERROR(IF(AND($H60&gt;0,$H63=2,$J58/$G63&gt;2999,$F63=1),$BR$5/$G63,0),0)</f>
        <v>0</v>
      </c>
      <c r="W61" s="172">
        <f ca="1">IFERROR(IF(AND($H60&gt;0,$H63=3,$J58/$G63&gt;2999,$F63=1),$BS$5/$G63,0),0)</f>
        <v>0</v>
      </c>
      <c r="X61" s="150">
        <f ca="1">IF(AND($H60=0,$H63=0,$B63&lt;2,$J59&gt;2999,$F63=0),$BJ$5,0)</f>
        <v>0</v>
      </c>
      <c r="Y61" s="150">
        <f ca="1">IF(AND($H60=0,$H63=0,$B63&gt;1.999,$J59&gt;2999,$F63=0),$BK$5,0)</f>
        <v>0</v>
      </c>
      <c r="Z61" s="151">
        <f ca="1">IF(AND($H60=25,$H63&gt;0,$B63&lt;2,$J59&gt;2999,$F63=0),$BL$5,0)</f>
        <v>0</v>
      </c>
      <c r="AA61" s="151">
        <f ca="1">IF(AND($H60=50,$H63&gt;0,$B63&lt;2,$J59&gt;2999,$F63=0),$BM$5,0)</f>
        <v>0</v>
      </c>
      <c r="AB61" s="151">
        <f ca="1">IF(AND($H60=100,$H63&gt;0,$J59&gt;2999,$B63&lt;2,$F63=0),$BM$5+($BT$2*$B63),0)</f>
        <v>0</v>
      </c>
      <c r="AC61" s="152">
        <f ca="1">IF(AND($H60=25,$H63&gt;0,$B63&gt;1.999,$J59&gt;2999,$F63=0),$BN$5,0)</f>
        <v>0</v>
      </c>
      <c r="AD61" s="152">
        <f ca="1">IF(AND($H60=50,$H63&gt;0,$B63&gt;1.999,$J59&gt;2999,$F63=0),$BO$5,0)</f>
        <v>0</v>
      </c>
      <c r="AE61" s="152">
        <f ca="1">IF(AND($H60=50,$H63&gt;0,$B63&lt;2,$J59&gt;2999,$F63=0),$BM$5,0)</f>
        <v>0</v>
      </c>
      <c r="AF61" s="165">
        <f ca="1">IF(AND($H60=100,$H63&gt;0,$J59&gt;2999,$B63&lt;2,$F63=0),$BM$5+($BT$2*$B63),0)</f>
        <v>0</v>
      </c>
      <c r="AG61" s="151">
        <f ca="1">IF(AND($H60=25,$H63&gt;0,$B63&gt;1.999,$J59&gt;2999,$F63=0),$BN$5,0)</f>
        <v>0</v>
      </c>
      <c r="AH61" s="152">
        <f ca="1">IF(AND($H60=50,$H63&gt;0,$B63&gt;1.999,$J59&gt;2999,$F63=0),$BO$5,0)</f>
        <v>0</v>
      </c>
      <c r="AI61" s="172" t="e">
        <f ca="1">IF(AND($H60&gt;0,$H63=3,$G63&lt;&gt;0,$J59/$G63&gt;2999,$F63=1),$BS$5/$G63,0)</f>
        <v>#DIV/0!</v>
      </c>
      <c r="AJ61" s="150">
        <f ca="1">IF(AND($H60=0,$H63=0,$B63&lt;2,$J60&gt;2999,$F63=0),$BJ$5,0)</f>
        <v>0</v>
      </c>
      <c r="AK61" s="150">
        <f ca="1">IF(AND($H60=0,$H63=0,$B63&gt;1.999,$J60&gt;2999,$F63=0),$BK$5,0)</f>
        <v>0</v>
      </c>
      <c r="AL61" s="151">
        <f ca="1">IF(AND($H60=25,$H63&gt;0,$B63&lt;2,$J60&gt;2999,$F63=0),$BL$5,0)</f>
        <v>0</v>
      </c>
      <c r="AM61" s="151">
        <f ca="1">IF(AND($H60=50,$H63&gt;0,$B63&lt;2,$J60&gt;2999,$F63=0),$BM$5,0)</f>
        <v>0</v>
      </c>
      <c r="AN61" s="151">
        <f ca="1">IF(AND($H60=100,$H63&gt;0,$J60&gt;2999,$B63&lt;2,$F63=0),$BM$5+($BT$2*$B63),0)</f>
        <v>0</v>
      </c>
      <c r="AO61" s="152">
        <f ca="1">IF(AND($H60=25,$H63&gt;0,$B63&gt;1.999,$J60&gt;2999,$F63=0),$BN$5,0)</f>
        <v>0</v>
      </c>
      <c r="AP61" s="152">
        <f ca="1">IF(AND($H60=50,$H63&gt;0,$B63&gt;1.999,$J60&gt;2999,$F63=0),$BO$5,0)</f>
        <v>0</v>
      </c>
      <c r="AQ61" s="152">
        <f ca="1">IF(AND($H60=100,$H63&gt;0,$J60&gt;2999,$B63&gt;1.999,$F63=0),$BO$5+($BT$2*$B63),0)</f>
        <v>0</v>
      </c>
      <c r="AR61" s="165" t="e">
        <f ca="1">IF(AND($H60=0,$H63=0,$G63&lt;&gt;0,$J60/$G63&gt;2999,$F63=1),$BP$5/$G63,0)</f>
        <v>#DIV/0!</v>
      </c>
      <c r="AS61" s="151" t="e">
        <f ca="1">IF(AND($H60&gt;0,$H63=1,$G63&lt;&gt;0,$J60/$G63&gt;2999,$F63=1),$BQ$5/$G63,0)</f>
        <v>#DIV/0!</v>
      </c>
      <c r="AT61" s="152" t="e">
        <f ca="1">IF(AND($H60&gt;0,$H63=2,$G63&lt;&gt;0,$J60/$G63&gt;2999,$F63=1),$BR$5/$G63,0)</f>
        <v>#DIV/0!</v>
      </c>
      <c r="AU61" s="172" t="e">
        <f ca="1">IF(AND($H60&gt;0,$H63=3,$G63&lt;&gt;0,$J60/$G63&gt;2999,$F63=1),$BS$5/$G63,0)</f>
        <v>#DIV/0!</v>
      </c>
      <c r="AV61" s="150">
        <f ca="1">IF(AND($H60=0,$H63=0,$B63&lt;2,$J61&gt;2999,$F63=0),$BJ$5,0)</f>
        <v>0</v>
      </c>
      <c r="AW61" s="150">
        <f ca="1">IF(AND($H60=0,$H63=0,$B63&gt;1.999,$J61&gt;2999,$F63=0),$BK$5,0)</f>
        <v>0</v>
      </c>
      <c r="AX61" s="151">
        <f ca="1">IF(AND($H60=25,$H63&gt;0,$B63&lt;2,$J61&gt;2999,$F63=0),$BL$5,0)</f>
        <v>0</v>
      </c>
      <c r="AY61" s="151">
        <f ca="1">IF(AND($H60=50,$H63&gt;0,$B63&lt;2,$J61&gt;2999,$F63=0),$BM$5,0)</f>
        <v>0</v>
      </c>
      <c r="AZ61" s="151">
        <f ca="1">IF(AND($H60=100,$H63&gt;0,$B63&lt;2,$J61&gt;2999,$F63=0),$BM$5+($BT$2*$B63),0)</f>
        <v>0</v>
      </c>
      <c r="BA61" s="152">
        <f ca="1">IF(AND($H60=25,$H63&gt;0,$B63&gt;1.999,$J61&gt;2999,$F63=0),$BN$5,0)</f>
        <v>0</v>
      </c>
      <c r="BB61" s="152">
        <f ca="1">IF(AND($H60=50,$H63&gt;0,$B63&gt;1.999,$J61&gt;2999,$F63=0),$BO$5,0)</f>
        <v>0</v>
      </c>
      <c r="BC61" s="152">
        <f ca="1">IF(AND($H60=100,$H63&gt;0,$J61&gt;2999,$B63&gt;1.999,$F63=0),$BO$5+($BT$2*$B63),0)</f>
        <v>0</v>
      </c>
      <c r="BD61" s="165">
        <f ca="1">IFERROR(IF(AND($H60=0,$H63=0,$G63&lt;&gt;0,$J61/$G63&gt;2999,$F63=1),$BP$5/$G63,0),0)</f>
        <v>0</v>
      </c>
      <c r="BE61" s="151">
        <f ca="1">IFERROR(IF(AND($H60&gt;0,$H63=1,$G63&lt;&gt;0,$J61/$G63&gt;2999,$F63=1),$BQ$5/$G63,0),0)</f>
        <v>0</v>
      </c>
      <c r="BF61" s="152">
        <f ca="1">IFERROR(IF(AND($H60&gt;0,$H63=2,$G63&lt;&gt;0,$J61/$G63&gt;2999,$F63=1),$BR$5/$G63,0),0)</f>
        <v>0</v>
      </c>
      <c r="BG61" s="172">
        <f ca="1">IFERROR(IF(AND($H60&gt;0,$H63=3,$G63&lt;&gt;0,$J61/$G63&gt;2999,$F63=1),$BS$5/$G63,0),0)</f>
        <v>0</v>
      </c>
      <c r="BI61" t="s">
        <v>1046</v>
      </c>
    </row>
    <row r="62" spans="1:61" ht="13.35" customHeight="1">
      <c r="A62" s="260"/>
      <c r="B62" s="275"/>
      <c r="C62" s="274"/>
      <c r="D62" s="147"/>
      <c r="E62" s="147"/>
      <c r="F62" s="275"/>
      <c r="G62" s="178"/>
      <c r="H62" s="269"/>
      <c r="I62" s="178"/>
      <c r="J62" s="6"/>
      <c r="K62" s="157"/>
      <c r="L62" s="162"/>
      <c r="M62" s="162"/>
      <c r="N62" s="272" t="s">
        <v>975</v>
      </c>
      <c r="O62" s="272"/>
      <c r="P62" s="272"/>
      <c r="Q62" s="273" t="s">
        <v>976</v>
      </c>
      <c r="R62" s="273"/>
      <c r="S62" s="273"/>
      <c r="T62" s="271" t="s">
        <v>992</v>
      </c>
      <c r="U62" s="271"/>
      <c r="V62" s="271"/>
      <c r="W62" s="271"/>
      <c r="X62" s="162"/>
      <c r="Y62" s="162"/>
      <c r="Z62" s="272" t="s">
        <v>975</v>
      </c>
      <c r="AA62" s="272"/>
      <c r="AB62" s="272"/>
      <c r="AC62" s="273" t="s">
        <v>976</v>
      </c>
      <c r="AD62" s="273"/>
      <c r="AE62" s="273"/>
      <c r="AF62" s="271" t="s">
        <v>992</v>
      </c>
      <c r="AG62" s="271"/>
      <c r="AH62" s="271"/>
      <c r="AI62" s="271"/>
      <c r="AJ62" s="162"/>
      <c r="AK62" s="162"/>
      <c r="AL62" s="272" t="s">
        <v>975</v>
      </c>
      <c r="AM62" s="272"/>
      <c r="AN62" s="272"/>
      <c r="AO62" s="273" t="s">
        <v>976</v>
      </c>
      <c r="AP62" s="273"/>
      <c r="AQ62" s="273"/>
      <c r="AR62" s="271" t="s">
        <v>992</v>
      </c>
      <c r="AS62" s="271"/>
      <c r="AT62" s="271"/>
      <c r="AU62" s="271"/>
      <c r="AV62" s="162"/>
      <c r="AW62" s="162"/>
      <c r="AX62" s="272" t="s">
        <v>975</v>
      </c>
      <c r="AY62" s="272"/>
      <c r="AZ62" s="272"/>
      <c r="BA62" s="273" t="s">
        <v>976</v>
      </c>
      <c r="BB62" s="273"/>
      <c r="BC62" s="273"/>
      <c r="BD62" s="271" t="s">
        <v>992</v>
      </c>
      <c r="BE62" s="271"/>
      <c r="BF62" s="271"/>
      <c r="BG62" s="271"/>
      <c r="BI62" t="s">
        <v>1047</v>
      </c>
    </row>
    <row r="63" spans="1:61" ht="13.2">
      <c r="A63" s="260"/>
      <c r="B63" s="158">
        <f ca="1">IF(KLEJENIE!E63=1,Kalk!J59/2,Kalk!J59)</f>
        <v>0</v>
      </c>
      <c r="C63" s="153">
        <f ca="1">IF(SUM(D63:F63)=3,1,0)</f>
        <v>0</v>
      </c>
      <c r="D63" s="88">
        <f ca="1">IF((F59&gt;599)*AND(F59&lt;2851),1,0)</f>
        <v>0</v>
      </c>
      <c r="E63" s="88">
        <f ca="1">IF((G59&gt;399)*AND(G59&lt;1566),1,0)</f>
        <v>0</v>
      </c>
      <c r="F63" s="154">
        <f>IF(Kalk!B59="Die cut",1,0)</f>
        <v>0</v>
      </c>
      <c r="G63" s="154">
        <f>Kalk!J61*Kalk!J62</f>
        <v>0</v>
      </c>
      <c r="H63" s="154">
        <f>Kalk!W59</f>
        <v>0</v>
      </c>
      <c r="I63" s="154">
        <f>IF(OR(I62="F0200",I62="F0201",I62="F0202",I62="F0203",I62="F0201-F0203",I62="F0200-F0203",I62="F0501",I62="F0452"),1,0)</f>
        <v>0</v>
      </c>
      <c r="J63" s="160"/>
      <c r="K63" s="161"/>
      <c r="L63" s="88">
        <f t="shared" ref="L63:BG63" ca="1" si="7">SUM(L58:L62)</f>
        <v>0</v>
      </c>
      <c r="M63" s="88">
        <f t="shared" ca="1" si="7"/>
        <v>0</v>
      </c>
      <c r="N63" s="88">
        <f t="shared" ca="1" si="7"/>
        <v>0</v>
      </c>
      <c r="O63" s="88">
        <f t="shared" ca="1" si="7"/>
        <v>0</v>
      </c>
      <c r="P63" s="88">
        <f t="shared" ca="1" si="7"/>
        <v>0</v>
      </c>
      <c r="Q63" s="88">
        <f t="shared" ca="1" si="7"/>
        <v>0</v>
      </c>
      <c r="R63" s="88">
        <f t="shared" ca="1" si="7"/>
        <v>0</v>
      </c>
      <c r="S63" s="88">
        <f t="shared" ca="1" si="7"/>
        <v>0</v>
      </c>
      <c r="T63" s="88">
        <f t="shared" ca="1" si="7"/>
        <v>0</v>
      </c>
      <c r="U63" s="88">
        <f t="shared" ca="1" si="7"/>
        <v>0</v>
      </c>
      <c r="V63" s="88">
        <f t="shared" ca="1" si="7"/>
        <v>0</v>
      </c>
      <c r="W63" s="88">
        <f t="shared" ca="1" si="7"/>
        <v>0</v>
      </c>
      <c r="X63" s="88">
        <f t="shared" ca="1" si="7"/>
        <v>0</v>
      </c>
      <c r="Y63" s="88">
        <f t="shared" ca="1" si="7"/>
        <v>0</v>
      </c>
      <c r="Z63" s="88">
        <f t="shared" ca="1" si="7"/>
        <v>0</v>
      </c>
      <c r="AA63" s="88">
        <f t="shared" ca="1" si="7"/>
        <v>0</v>
      </c>
      <c r="AB63" s="88">
        <f t="shared" ca="1" si="7"/>
        <v>0</v>
      </c>
      <c r="AC63" s="88">
        <f t="shared" ca="1" si="7"/>
        <v>0</v>
      </c>
      <c r="AD63" s="88">
        <f t="shared" ca="1" si="7"/>
        <v>0</v>
      </c>
      <c r="AE63" s="88">
        <f t="shared" ca="1" si="7"/>
        <v>0</v>
      </c>
      <c r="AF63" s="88">
        <f t="shared" ca="1" si="7"/>
        <v>0</v>
      </c>
      <c r="AG63" s="88">
        <f t="shared" ca="1" si="7"/>
        <v>0</v>
      </c>
      <c r="AH63" s="88">
        <f t="shared" ca="1" si="7"/>
        <v>0</v>
      </c>
      <c r="AI63" s="88" t="e">
        <f t="shared" ca="1" si="7"/>
        <v>#DIV/0!</v>
      </c>
      <c r="AJ63" s="88">
        <f t="shared" ca="1" si="7"/>
        <v>0</v>
      </c>
      <c r="AK63" s="88">
        <f t="shared" ca="1" si="7"/>
        <v>0</v>
      </c>
      <c r="AL63" s="88">
        <f t="shared" ca="1" si="7"/>
        <v>0</v>
      </c>
      <c r="AM63" s="88">
        <f t="shared" ca="1" si="7"/>
        <v>0</v>
      </c>
      <c r="AN63" s="88">
        <f t="shared" ca="1" si="7"/>
        <v>0</v>
      </c>
      <c r="AO63" s="88">
        <f t="shared" ca="1" si="7"/>
        <v>0</v>
      </c>
      <c r="AP63" s="88">
        <f t="shared" ca="1" si="7"/>
        <v>0</v>
      </c>
      <c r="AQ63" s="88">
        <f t="shared" ca="1" si="7"/>
        <v>0</v>
      </c>
      <c r="AR63" s="88" t="e">
        <f t="shared" ca="1" si="7"/>
        <v>#DIV/0!</v>
      </c>
      <c r="AS63" s="88" t="e">
        <f t="shared" ca="1" si="7"/>
        <v>#DIV/0!</v>
      </c>
      <c r="AT63" s="88" t="e">
        <f t="shared" ca="1" si="7"/>
        <v>#DIV/0!</v>
      </c>
      <c r="AU63" s="88" t="e">
        <f t="shared" ca="1" si="7"/>
        <v>#DIV/0!</v>
      </c>
      <c r="AV63" s="88">
        <f t="shared" ca="1" si="7"/>
        <v>0</v>
      </c>
      <c r="AW63" s="88">
        <f t="shared" ca="1" si="7"/>
        <v>0</v>
      </c>
      <c r="AX63" s="88">
        <f t="shared" ca="1" si="7"/>
        <v>0</v>
      </c>
      <c r="AY63" s="88">
        <f t="shared" ca="1" si="7"/>
        <v>0</v>
      </c>
      <c r="AZ63" s="88">
        <f t="shared" ca="1" si="7"/>
        <v>0</v>
      </c>
      <c r="BA63" s="88">
        <f t="shared" ca="1" si="7"/>
        <v>0</v>
      </c>
      <c r="BB63" s="88">
        <f t="shared" ca="1" si="7"/>
        <v>0</v>
      </c>
      <c r="BC63" s="88">
        <f t="shared" ca="1" si="7"/>
        <v>0</v>
      </c>
      <c r="BD63" s="88">
        <f t="shared" ca="1" si="7"/>
        <v>0</v>
      </c>
      <c r="BE63" s="88">
        <f t="shared" ca="1" si="7"/>
        <v>0</v>
      </c>
      <c r="BF63" s="88">
        <f t="shared" ca="1" si="7"/>
        <v>0</v>
      </c>
      <c r="BG63" s="88">
        <f t="shared" ca="1" si="7"/>
        <v>0</v>
      </c>
      <c r="BI63" t="s">
        <v>1048</v>
      </c>
    </row>
    <row r="64" spans="1:61" ht="13.2">
      <c r="A64" s="260"/>
      <c r="B64" s="123"/>
      <c r="C64" s="123"/>
      <c r="D64" s="123"/>
      <c r="E64" s="168"/>
      <c r="F64" s="166"/>
      <c r="G64" s="166"/>
      <c r="H64" s="169"/>
      <c r="I64" s="169"/>
      <c r="J64" s="166"/>
      <c r="BI64" t="s">
        <v>1049</v>
      </c>
    </row>
    <row r="65" spans="1:61" ht="13.2">
      <c r="B65" s="167"/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  <c r="L65" s="110" t="s">
        <v>975</v>
      </c>
      <c r="M65" s="110" t="s">
        <v>976</v>
      </c>
      <c r="N65" s="116" t="s">
        <v>958</v>
      </c>
      <c r="O65" s="116" t="s">
        <v>959</v>
      </c>
      <c r="P65" s="116" t="s">
        <v>960</v>
      </c>
      <c r="Q65" s="146" t="s">
        <v>958</v>
      </c>
      <c r="R65" s="146" t="s">
        <v>959</v>
      </c>
      <c r="S65" s="146" t="s">
        <v>960</v>
      </c>
      <c r="T65" s="88" t="s">
        <v>977</v>
      </c>
      <c r="U65" s="108" t="s">
        <v>978</v>
      </c>
      <c r="V65" s="170" t="s">
        <v>979</v>
      </c>
      <c r="W65" s="171" t="s">
        <v>980</v>
      </c>
      <c r="X65" s="110" t="s">
        <v>975</v>
      </c>
      <c r="Y65" s="110" t="s">
        <v>976</v>
      </c>
      <c r="Z65" s="116" t="s">
        <v>958</v>
      </c>
      <c r="AA65" s="116" t="s">
        <v>959</v>
      </c>
      <c r="AB65" s="116" t="s">
        <v>960</v>
      </c>
      <c r="AC65" s="146" t="s">
        <v>958</v>
      </c>
      <c r="AD65" s="146" t="s">
        <v>959</v>
      </c>
      <c r="AE65" s="146" t="s">
        <v>960</v>
      </c>
      <c r="AF65" s="88" t="s">
        <v>977</v>
      </c>
      <c r="AG65" s="108" t="s">
        <v>978</v>
      </c>
      <c r="AH65" s="170" t="s">
        <v>979</v>
      </c>
      <c r="AI65" s="171" t="s">
        <v>980</v>
      </c>
      <c r="AJ65" s="110" t="s">
        <v>975</v>
      </c>
      <c r="AK65" s="110" t="s">
        <v>976</v>
      </c>
      <c r="AL65" s="116" t="s">
        <v>958</v>
      </c>
      <c r="AM65" s="116" t="s">
        <v>959</v>
      </c>
      <c r="AN65" s="116" t="s">
        <v>960</v>
      </c>
      <c r="AO65" s="146" t="s">
        <v>958</v>
      </c>
      <c r="AP65" s="146" t="s">
        <v>959</v>
      </c>
      <c r="AQ65" s="146" t="s">
        <v>960</v>
      </c>
      <c r="AR65" s="88" t="s">
        <v>977</v>
      </c>
      <c r="AS65" s="108" t="s">
        <v>978</v>
      </c>
      <c r="AT65" s="170" t="s">
        <v>979</v>
      </c>
      <c r="AU65" s="171" t="s">
        <v>980</v>
      </c>
      <c r="AV65" s="110" t="s">
        <v>975</v>
      </c>
      <c r="AW65" s="110" t="s">
        <v>976</v>
      </c>
      <c r="AX65" s="116" t="s">
        <v>958</v>
      </c>
      <c r="AY65" s="116" t="s">
        <v>959</v>
      </c>
      <c r="AZ65" s="116" t="s">
        <v>960</v>
      </c>
      <c r="BA65" s="146" t="s">
        <v>958</v>
      </c>
      <c r="BB65" s="146" t="s">
        <v>959</v>
      </c>
      <c r="BC65" s="146" t="s">
        <v>960</v>
      </c>
      <c r="BD65" s="88" t="s">
        <v>977</v>
      </c>
      <c r="BE65" s="108" t="s">
        <v>978</v>
      </c>
      <c r="BF65" s="170" t="s">
        <v>979</v>
      </c>
      <c r="BG65" s="171" t="s">
        <v>980</v>
      </c>
      <c r="BI65" t="s">
        <v>1050</v>
      </c>
    </row>
    <row r="66" spans="1:61" ht="12.9" customHeight="1">
      <c r="A66" s="260">
        <v>9</v>
      </c>
      <c r="B66" s="274" t="s">
        <v>982</v>
      </c>
      <c r="C66" s="147" t="s">
        <v>56</v>
      </c>
      <c r="D66" s="147" t="s">
        <v>57</v>
      </c>
      <c r="E66" s="147" t="s">
        <v>66</v>
      </c>
      <c r="F66" s="268" t="s">
        <v>963</v>
      </c>
      <c r="G66" s="268"/>
      <c r="H66" s="269" t="s">
        <v>965</v>
      </c>
      <c r="I66" s="269" t="s">
        <v>970</v>
      </c>
      <c r="J66" s="88">
        <f ca="1">IF(KLEJENIE!E$71=1,Kalk!AH35*2,Kalk!AH35)</f>
        <v>0</v>
      </c>
      <c r="K66" s="150">
        <f ca="1">IF(AND($C71=1,$J66&gt;0),IF($H68=100, SUM(L71:W71)+($BT$2*$B71), SUM(L71:W71)),IF(AND($B68=1,$J66&gt;0),SUM(L71:W71)+IF(AND($H71&gt;1,$F71=0), $H71*0.05-0.05, 0),0))</f>
        <v>0</v>
      </c>
      <c r="L66" s="150">
        <f ca="1">IF(AND($H68=0,$H71=0,$J66&lt;500,$J66&gt;0,$B71&lt;2,$F71=0),BJ66/$J66,0)</f>
        <v>0</v>
      </c>
      <c r="M66" s="150">
        <f ca="1">IF(AND($H68=0,$H71=0,$J66&lt;500,$J66&gt;0,$B71&gt;1.999,$F71=0),BK66/$J66,0)</f>
        <v>0</v>
      </c>
      <c r="N66" s="151">
        <f ca="1">IF(AND($H71&gt;0,$H68=25,$B71&lt;2,$J66&lt;500,$F71=0),BV69/$J66,0)</f>
        <v>0</v>
      </c>
      <c r="O66" s="151">
        <f ca="1">IF(AND($H71&gt;0,$H68=50,$B71&lt;2,$J66&gt;0,$J66&lt;500,$F71=0),150/$J66,0)</f>
        <v>0</v>
      </c>
      <c r="P66" s="151">
        <f ca="1">IF(AND($H71&gt;0,$H68=100,$J66&gt;0,$J66&lt;500,$B71&lt;2,$F71=0),(BV69/$J66)+($BT$2*$B71),0)</f>
        <v>0</v>
      </c>
      <c r="Q66" s="152">
        <f ca="1">IF(AND($H71&gt;0,$H68=25,$J66&gt;0,$J66&lt;500,$B71&gt;1.999,$F71=0),BV69/$J66,0)</f>
        <v>0</v>
      </c>
      <c r="R66" s="152">
        <f ca="1">IF(AND($H71&gt;0,$H68=50,$J66&lt;500,$B71&gt;1.999,$F71=0),150/$J66,0)</f>
        <v>0</v>
      </c>
      <c r="S66" s="152">
        <f ca="1">IF(AND($H71&gt;0,$H68=100,$J66&lt;500,$B71&gt;1.999,$F71=0),(BV69/$J66)+($BT$2*$B71),0)</f>
        <v>0</v>
      </c>
      <c r="T66" s="165">
        <f ca="1">IFERROR(IF(AND($H68=0,$H71=0,$G71&lt;&gt;0,$J66&lt;&gt;0,$J66/$G71&lt;500,$J66/$G71&gt;0,$F71=1),BP66/$J66,0),0)</f>
        <v>0</v>
      </c>
      <c r="U66" s="151">
        <f ca="1">IFERROR(IF(AND($H68&gt;0,$H71=1,$J66/$G71&lt;500,$J66/$G71&gt;0,$F71=1),BQ66/$J66,0),0)</f>
        <v>0</v>
      </c>
      <c r="V66" s="152">
        <f ca="1">IFERROR(IF(AND($H68&gt;0,$H71=2,$J66/$G71&lt;500,$J66/$G71&gt;0,$F71=1),BR66/$J66,0),0)</f>
        <v>0</v>
      </c>
      <c r="W66" s="172">
        <f ca="1">IFERROR(IF(AND($H68&gt;0,$H71=3,$J66/$G71&lt;500,$J66/$G71&gt;0,$F71=1),BS66/$J66,0),0)</f>
        <v>0</v>
      </c>
      <c r="X66" s="150">
        <f ca="1">IF(AND($H68=0,$H71=0,$J67&lt;500,$J67&gt;0,$B71&lt;2,$F71=0),BJ66/$J67,0)</f>
        <v>0</v>
      </c>
      <c r="Y66" s="150">
        <f ca="1">IF(AND($H68=0,$H71=0,$J67&lt;500,$J67&gt;0,$B71&gt;1.999,$F71=0),BK66/$J67,0)</f>
        <v>0</v>
      </c>
      <c r="Z66" s="151">
        <f ca="1">IF(AND($H71&gt;0,$H68=25,$B71&lt;2,$J67&lt;500,$F71=0),BV69/$J67,0)</f>
        <v>0</v>
      </c>
      <c r="AA66" s="151">
        <f ca="1">IF(AND($H71&gt;0,$H68=50,$B71&lt;2,$J67&lt;500,$F71=0),150/$J67,0)</f>
        <v>0</v>
      </c>
      <c r="AB66" s="151">
        <f ca="1">IF(AND($H71&gt;0,$H68=100,$J67&lt;500,$B71&lt;2,$F71=0),(BV69/$J67)+($BT$2*$B71),0)</f>
        <v>0</v>
      </c>
      <c r="AC66" s="152">
        <f ca="1">IF(AND($H71&gt;0,$H68=25,$J67&lt;500,$B71&gt;1.999,$F71=0),BV69/$J67,0)</f>
        <v>0</v>
      </c>
      <c r="AD66" s="152">
        <f ca="1">IF(AND($H71&gt;0,$H68=50,$J67&lt;500,$B71&gt;1.999,$F71=0),150/$J67,0)</f>
        <v>0</v>
      </c>
      <c r="AE66" s="152">
        <f ca="1">IF(AND($H71&gt;0,$H68=50,$B71&lt;2,$J67&gt;0,$J67&lt;500,$F71=0),150/$J67,0)</f>
        <v>0</v>
      </c>
      <c r="AF66" s="165">
        <f ca="1">IF(AND($H71&gt;0,$H68=100,$J67&gt;0,$J67&lt;500,$B71&lt;2,$F71=0),(BV69/$J67)+($BT$2*$B71),0)</f>
        <v>0</v>
      </c>
      <c r="AG66" s="151">
        <f ca="1">IF(AND($H71&gt;0,$H68=25,$J67&gt;0,$J67&lt;500,$B71&gt;1.999,$F71=0),BV69/$J67,0)</f>
        <v>0</v>
      </c>
      <c r="AH66" s="152">
        <f ca="1">IF(AND($H71&gt;0,$H68=50,$J67&gt;0,$J67&lt;500,$B71&gt;1.999,$F71=0),150/$J67,0)</f>
        <v>0</v>
      </c>
      <c r="AI66" s="172" t="e">
        <f ca="1">IF(AND($H68&gt;0,$H71=3,$G71&lt;&gt;0,$J67&gt;0,$J67/$G71&gt;0,$J67/$G71&lt;500,$F71=1),BS66/$J67,0)</f>
        <v>#DIV/0!</v>
      </c>
      <c r="AJ66" s="150">
        <f ca="1">IF(AND($H68=0,$H71=0,$J68&gt;0,$J68&lt;500,$B71&lt;2,$F71=0),BJ66/$J68,0)</f>
        <v>0</v>
      </c>
      <c r="AK66" s="150">
        <f ca="1">IF(AND($H68=0,$H71=0,$J68&gt;0,$J68&lt;500,$B71&gt;1.999,$F71=0),BK66/$J68,0)</f>
        <v>0</v>
      </c>
      <c r="AL66" s="151">
        <f ca="1">IF(AND($H71&gt;0,$H68=25,$B71&lt;2,$J68&gt;0,$J68&lt;500,$F71=0),BV69/$J68,0)</f>
        <v>0</v>
      </c>
      <c r="AM66" s="151">
        <f ca="1">IF(AND($H71&gt;0,$H68=50,$B71&lt;2,$J68&gt;0,$J68&lt;500,$F71=0),BV69/$J68,0)</f>
        <v>0</v>
      </c>
      <c r="AN66" s="151">
        <f ca="1">IF(AND($H71&gt;0,$H68=100,$J68&gt;0,$J68&lt;500,$B71&lt;2,$F71=0),(BV69/$J68)+($BT$2*$B71),0)</f>
        <v>0</v>
      </c>
      <c r="AO66" s="152">
        <f ca="1">IF(AND($H71&gt;0,$H68=25,$J68&gt;0,$J68&lt;500,$B71&gt;1.999,$F71=0),BV69/$J68,0)</f>
        <v>0</v>
      </c>
      <c r="AP66" s="152">
        <f ca="1">IF(AND($H71&gt;0,$H68=50,$J68&gt;0,$J68&lt;500,$B71&gt;1.999,$F71=0),150/$J68,0)</f>
        <v>0</v>
      </c>
      <c r="AQ66" s="152">
        <f ca="1">IF(AND($H71&gt;0,$H68=100,$J68&gt;0,$J68&lt;500,$B71&gt;1.999,$F71=0),(BV69/$J68)+($BT$2*$B71),0)</f>
        <v>0</v>
      </c>
      <c r="AR66" s="165" t="e">
        <f ca="1">IF(AND($H68=0,$H71=0,$G71&lt;&gt;0,$J68&gt;0,$J68/$G71&lt;500,$J68/$G71&gt;0,$F71=1),BP66/$J68,0)</f>
        <v>#DIV/0!</v>
      </c>
      <c r="AS66" s="151" t="e">
        <f ca="1">IF(AND($H68&gt;0,$H71=1,$G71&lt;&gt;0,$J68&gt;0,$J68/$G71&lt;500,$J68/$G71&gt;0,$F71=1),BQ66/$J68,0)</f>
        <v>#DIV/0!</v>
      </c>
      <c r="AT66" s="152" t="e">
        <f ca="1">IF(AND($H68&gt;0,$H71=2,$G71&lt;&gt;0,$J68&gt;0,$J68/$G71&lt;500,$J68/$G71&gt;0,$F71=1),BR66/$J68,0)</f>
        <v>#DIV/0!</v>
      </c>
      <c r="AU66" s="172" t="e">
        <f ca="1">IF(AND($H68&gt;0,$H71=3,$G71&lt;&gt;0,$J68&gt;0,$J68/$G71&lt;500,$J68/$G71&gt;0,$F71=1),BS66/$J68,0)</f>
        <v>#DIV/0!</v>
      </c>
      <c r="AV66" s="150">
        <f ca="1">IF(AND($H68=0,$H71=0,$J69&gt;0,$J69&lt;500,$B71&lt;2,$F71=0),BJ66/$J69,0)</f>
        <v>0</v>
      </c>
      <c r="AW66" s="150">
        <f ca="1">IF(AND($H68=0,$H71=0,$J69&gt;0,$J69&lt;500,$B71&gt;1.999,$F71=0),BK66/$J69,0)</f>
        <v>0</v>
      </c>
      <c r="AX66" s="151">
        <f ca="1">IF(AND($H71&gt;0,$H68=25,$B71&lt;2,$J69&gt;0,$J69&lt;500,$F71=0),BV69/$J69,0)</f>
        <v>0</v>
      </c>
      <c r="AY66" s="151">
        <f ca="1">IF(AND($H71&gt;0,$H68=50,$B71&lt;2,$J69&gt;0,$J69&lt;500,$F71=0),150/$J69,0)</f>
        <v>0</v>
      </c>
      <c r="AZ66" s="151">
        <f ca="1">IF(AND($H71&gt;0,$H68=100,$B71&lt;2,$J69&gt;0,$J69&lt;500,$F71=0),(BV69/$J69)+($BT$2*$B71),0)</f>
        <v>0</v>
      </c>
      <c r="BA66" s="152">
        <f ca="1">IF(AND($H71&gt;0,$H68=25,$J69&gt;0,$J69&lt;500,$B71&gt;1.999,$F71=0),BV69/$J69,0)</f>
        <v>0</v>
      </c>
      <c r="BB66" s="152">
        <f ca="1">IF(AND($H71&gt;0,$H68=50,$J69&gt;0,$J69&lt;500,$B71&gt;1.999,$F71=0),150/$J69,0)</f>
        <v>0</v>
      </c>
      <c r="BC66" s="152">
        <f ca="1">IF(AND($H71&gt;0,$H68=100,$J69&gt;0,$J69&lt;500,$B71&gt;1.999,$F71=0),(BV69/$J69)+($BT$2*$B71),0)</f>
        <v>0</v>
      </c>
      <c r="BD66" s="165">
        <f ca="1">IFERROR(IF(AND($H68=0,$H71=0,$G71&lt;&gt;0,$J69&gt;0,$J69/$G71&lt;500,$J69/$G71&gt;0,$F71=1),BP66/$J69,0),0)</f>
        <v>0</v>
      </c>
      <c r="BE66" s="151">
        <f ca="1">IFERROR(IF(AND($H68&gt;0,$H71=1,$G71&lt;&gt;0,$J69&gt;0,$J69/$G71&lt;500,$J69/$G71&gt;0,$F71=1),BQ66/$J69,0),0)</f>
        <v>0</v>
      </c>
      <c r="BF66" s="152">
        <f ca="1">IFERROR(IF(AND($H68&gt;0,$H71=2,$G71&lt;&gt;0,$J69&gt;0,$J69/$G71&lt;500,$J69/$G71&gt;0,$F71=1),BR66/$J69,0),0)</f>
        <v>0</v>
      </c>
      <c r="BG66" s="172">
        <f ca="1">IFERROR(IF(AND($H68&gt;0,$H71=3,$G71&lt;&gt;0,$J69&gt;0,$J69/$G71&lt;500,$J69/$G71&gt;0,$F71=1),BS66/$J69,0),0)</f>
        <v>0</v>
      </c>
      <c r="BI66" t="s">
        <v>1051</v>
      </c>
    </row>
    <row r="67" spans="1:61" ht="13.2">
      <c r="A67" s="260"/>
      <c r="B67" s="274"/>
      <c r="C67" s="174">
        <f>Kalk!C36</f>
        <v>0</v>
      </c>
      <c r="D67" s="174">
        <f>Kalk!E36</f>
        <v>0</v>
      </c>
      <c r="E67" s="147">
        <f>Kalk!G36</f>
        <v>0</v>
      </c>
      <c r="F67" s="147">
        <f ca="1">IF(KLEJENIE!E71=1,Kalk!H36,Kalk!I36)</f>
        <v>47</v>
      </c>
      <c r="G67" s="147">
        <f ca="1">Kalk!I38</f>
        <v>8</v>
      </c>
      <c r="H67" s="269"/>
      <c r="I67" s="269"/>
      <c r="J67" s="88">
        <f ca="1">IF(KLEJENIE!E$71=1,Kalk!AH36*2,Kalk!AH36)</f>
        <v>0</v>
      </c>
      <c r="K67" s="150">
        <f ca="1">IF(AND($C71=1,$J67&gt;0),IF($H68=100, SUM(X71:AI71)+($BT$2*$B71), SUM(X71:AI71)),IF(AND($B68=1,$J67&gt;0),SUM(X71:AI71) + IF(AND($H71&gt;1,$F71=0), $H71*0.05-0.05, 0),0))</f>
        <v>0</v>
      </c>
      <c r="L67" s="150">
        <f ca="1">IF(AND($H68=0,$H71=0,$B71&lt;2,$J66&gt;499,$J66&lt;1000,$F71=0),$BJ$3,0)</f>
        <v>0</v>
      </c>
      <c r="M67" s="150">
        <f ca="1">IF(AND($H68=0,$H71=0,$B71&gt;1.999,$J66&gt;499,$J66&lt;1000,$F71=0),$BK$3,0)</f>
        <v>0</v>
      </c>
      <c r="N67" s="151">
        <f ca="1">IF(AND($H68=25,$H71&gt;0,$B71&lt;2,$J66&gt;499,$J66&lt;1000,$F71=0),$BL$3,0)</f>
        <v>0</v>
      </c>
      <c r="O67" s="151">
        <f ca="1">IF(AND($H68=50,$H71&gt;0,$B71&lt;2,$J66&gt;499,$J66&lt;1000,$F71=0),$BM$3,0)</f>
        <v>0</v>
      </c>
      <c r="P67" s="151">
        <f ca="1">IF(AND($H68=100,$H71&gt;0,$J66&gt;499,$J66&lt;1000,$B71&lt;2,$F71=0),$BM$3+($BT$2*$B71),0)</f>
        <v>0</v>
      </c>
      <c r="Q67" s="152">
        <f ca="1">IF(AND($H68=25,$H71&gt;0,$B71&gt;1.999,$J66&gt;499,$J66&lt;1000,$F71=0),$BN$3,0)</f>
        <v>0</v>
      </c>
      <c r="R67" s="152">
        <f ca="1">IF(AND($H68=50,$H71&gt;0,$J66&gt;499,$J66&lt;1000,$B71&gt;1.999,$F71=0),$BO$3,0)</f>
        <v>0</v>
      </c>
      <c r="S67" s="152">
        <f ca="1">IF(AND($H68=100,$H71&gt;0,$J66&gt;499,$J66&lt;1000,$B71&gt;1.999,$F71=0),$BO$3+($BT$2*$B71),0)</f>
        <v>0</v>
      </c>
      <c r="T67" s="165">
        <f ca="1">IFERROR(IF(AND($H68=0,$H71=0,$J66/$G71&lt;1000,$J66/$G71&gt;499,$F71=1),$BP$3/$G71,0),0)</f>
        <v>0</v>
      </c>
      <c r="U67" s="151">
        <f ca="1">IFERROR(IF(AND($H68&gt;0,$H71=1,$J66/$G71&lt;1000,$J66/$G71&gt;499,$F71=1),$BQ$3/$G71,0),0)</f>
        <v>0</v>
      </c>
      <c r="V67" s="152">
        <f ca="1">IFERROR(IF(AND($H68&gt;0,$H71=2,$J66/$G71&lt;1000,$J66/$G71&gt;499,$F71=1),$BR$3/$G71,0),0)</f>
        <v>0</v>
      </c>
      <c r="W67" s="172">
        <f ca="1">IFERROR(IF(AND($H68&gt;0,$H71=3,$J66/$G71&lt;1000,$J66/$G71&gt;499,$F71=1),$BS$3/$G71,0),0)</f>
        <v>0</v>
      </c>
      <c r="X67" s="150">
        <f ca="1">IF(AND($H68=0,$H71=0,$B71&lt;2,$J67&gt;499,$J67&lt;1000,$F71=0),$BJ$3,0)</f>
        <v>0</v>
      </c>
      <c r="Y67" s="150">
        <f ca="1">IF(AND($H68=0,$H71=0,$B71&gt;1.999,$J67&gt;499,$J67&lt;1000,$F71=0),$BK$3,0)</f>
        <v>0</v>
      </c>
      <c r="Z67" s="151">
        <f ca="1">IF(AND($H68=25,$H71&gt;0,$B71&lt;2,$J67&gt;499,$J67&lt;1000,$F71=0),$BL$3,0)</f>
        <v>0</v>
      </c>
      <c r="AA67" s="151">
        <f ca="1">IF(AND($H68=50,$H71&gt;0,$B71&lt;2,$J67&gt;499,$J67&lt;1000,$F71=0),$BM$3,0)</f>
        <v>0</v>
      </c>
      <c r="AB67" s="151">
        <f ca="1">IF(AND($H68=100,$H71&gt;0,$J67&gt;499,$J67&lt;1000,$B71&lt;2,$F71=0),$BM$3+($BT$2*$B71),0)</f>
        <v>0</v>
      </c>
      <c r="AC67" s="152">
        <f ca="1">IF(AND($H68=25,$H71&gt;0,$B71&gt;1.999,$J67&gt;499,$J67&lt;1000,$F71=0),$BN$3,0)</f>
        <v>0</v>
      </c>
      <c r="AD67" s="152">
        <f ca="1">IF(AND($H68=50,$H71&gt;0,$J67&gt;499,$J67&lt;1000,$B71&gt;1.999,$F71=0),$BO$3,0)</f>
        <v>0</v>
      </c>
      <c r="AE67" s="152">
        <f ca="1">IF(AND($H68=50,$H71&gt;0,$B71&lt;2,$J67&gt;499,$J67&lt;1000,$F71=0),$BM$3,0)</f>
        <v>0</v>
      </c>
      <c r="AF67" s="165">
        <f ca="1">IF(AND($H68=100,$H71&gt;0,$J67&gt;499,$J67&lt;1000,$B71&lt;2,$F71=0),$BM$3+($BT$2*$B71),0)</f>
        <v>0</v>
      </c>
      <c r="AG67" s="151">
        <f ca="1">IF(AND($H68=25,$H71&gt;0,$B71&gt;1.999,$J67&gt;499,$J67&lt;1000,$F71=0),$BN$3,0)</f>
        <v>0</v>
      </c>
      <c r="AH67" s="152">
        <f ca="1">IF(AND($H68=50,$H71&gt;0,$J67&gt;499,$J67&lt;1000,$B71&gt;1.999,$F71=0),$BO$3,0)</f>
        <v>0</v>
      </c>
      <c r="AI67" s="172" t="e">
        <f ca="1">IF(AND($H68&gt;0,$H71=3,$G71&lt;&gt;0,$J67/$G71&gt;499,$J67/$G71&lt;1000,$F71=1),$BS$3/$G71,0)</f>
        <v>#DIV/0!</v>
      </c>
      <c r="AJ67" s="150">
        <f ca="1">IF(AND($H68=0,$H71=0,$B71&lt;2,$J68&gt;499,$J68&lt;1000,$F71=0),$BJ$3,0)</f>
        <v>0</v>
      </c>
      <c r="AK67" s="150">
        <f ca="1">IF(AND($H68=0,$H71=0,$B71&gt;1.999,$J68&gt;499,$J68&lt;1000,$F71=0),$BK$3,0)</f>
        <v>0</v>
      </c>
      <c r="AL67" s="151">
        <f ca="1">IF(AND($H68=25,$H71&gt;0,$B71&lt;2,$J68&gt;499,$J68&lt;1000,$F71=0),$BL$3,0)</f>
        <v>0</v>
      </c>
      <c r="AM67" s="151">
        <f ca="1">IF(AND($H68=50,$H71&gt;0,$B71&lt;2,$J68&gt;499,$J68&lt;1000,$F71=0),$BM$3,0)</f>
        <v>0</v>
      </c>
      <c r="AN67" s="151">
        <f ca="1">IF(AND($H68=100,$H71&gt;0,$J68&gt;499,$J68&lt;1000,$B71&lt;2,$F71=0),$BM$3+($BT$2*$B71),0)</f>
        <v>0</v>
      </c>
      <c r="AO67" s="152">
        <f ca="1">IF(AND($H68=25,$H71&gt;0,$B71&gt;1.999,$J68&gt;499,$J68&lt;1000,$F71=0),$BN$3,0)</f>
        <v>0</v>
      </c>
      <c r="AP67" s="152">
        <f ca="1">IF(AND($H68=50,$H71&gt;0,$J68&gt;499,$J68&lt;1000,$B71&gt;1.999,$F71=0),$BO$3,0)</f>
        <v>0</v>
      </c>
      <c r="AQ67" s="152">
        <f ca="1">IF(AND($H68=100,$H71&gt;0,$J68&gt;499,$J68&lt;1000,$B71&gt;1.999,$F71=0),$BO$3+($BT$2*$B71),0)</f>
        <v>0</v>
      </c>
      <c r="AR67" s="165" t="e">
        <f ca="1">IF(AND($H68=0,$H71=0,$G71&lt;&gt;0,$J68/$G71&lt;1000,$J68/$G71&gt;499,$F71=1),$BP$3/$G71,0)</f>
        <v>#DIV/0!</v>
      </c>
      <c r="AS67" s="151" t="e">
        <f ca="1">IF(AND($H68&gt;0,$H71=1,$G71&lt;&gt;0,$J68/$G71&lt;1000,$J68/$G71&gt;499,$F71=1),$BQ$3/$G71,0)</f>
        <v>#DIV/0!</v>
      </c>
      <c r="AT67" s="152" t="e">
        <f ca="1">IF(AND($H68&gt;0,$H71=2,$G71&lt;&gt;0,$J68/$G71&lt;1000,$J68/$G71&gt;499,$F71=1),$BR$3/$G71,0)</f>
        <v>#DIV/0!</v>
      </c>
      <c r="AU67" s="172" t="e">
        <f ca="1">IF(AND($H68&gt;0,$H71=3,$G71&lt;&gt;0,$J68/$G71&lt;1000,$J68/$G71&gt;499,$F71=1),$BS$3/$G71,0)</f>
        <v>#DIV/0!</v>
      </c>
      <c r="AV67" s="150">
        <f ca="1">IF(AND($H68=0,$H71=0,$B71&lt;2,$J69&gt;499,$J69&lt;1000,$F71=0),$BJ$3,0)</f>
        <v>0</v>
      </c>
      <c r="AW67" s="150">
        <f ca="1">IF(AND($H68=0,$H71=0,$B71&gt;1.999,$J69&gt;499,$J69&lt;1000,$F71=0),$BK$3,0)</f>
        <v>0</v>
      </c>
      <c r="AX67" s="151">
        <f ca="1">IF(AND($H68=25,$H71&gt;0,$B71&lt;2,$J69&gt;499,$J69&lt;1000,$F71=0),$BL$3,0)</f>
        <v>0</v>
      </c>
      <c r="AY67" s="151">
        <f ca="1">IF(AND($H68=50,$H71&gt;0,$B71&lt;2,$J69&gt;499,$J69&lt;1000,$F71=0),$BM$3,0)</f>
        <v>0</v>
      </c>
      <c r="AZ67" s="151">
        <f ca="1">IF(AND($H68=100,$H71&gt;0,$B71&lt;2,$J69&gt;499,$J69&lt;1000,$F71=0),$BM$3+($BT$2*$B71),0)</f>
        <v>0</v>
      </c>
      <c r="BA67" s="152">
        <f ca="1">IF(AND($H68=25,$H71&gt;0,$B71&gt;1.999,$J69&gt;499,$J69&lt;1000,$F71=0),$BN$3,0)</f>
        <v>0</v>
      </c>
      <c r="BB67" s="152">
        <f ca="1">IF(AND($H68=50,$H71&gt;0,$J69&gt;499,$J69&lt;1000,$B71&gt;1.999,$F71=0),$BO$3,0)</f>
        <v>0</v>
      </c>
      <c r="BC67" s="152">
        <f ca="1">IF(AND($H68=100,$H71&gt;0,$J69&gt;499,$J69&lt;1000,$B71&gt;1.999,$F71=0),$BO$3+($BT$2*$B71),0)</f>
        <v>0</v>
      </c>
      <c r="BD67" s="165">
        <f ca="1">IFERROR(IF(AND($H68=0,$H71=0,$G71&lt;&gt;0,$J69/$G71&lt;1000,$J69/$G71&gt;499,$F71=1),$BP$3/$G71,0),0)</f>
        <v>0</v>
      </c>
      <c r="BE67" s="151">
        <f ca="1">IFERROR(IF(AND($H68&gt;0,$H71=1,$G71&lt;&gt;0,$J69/$G71&lt;1000,$J69/$G71&gt;499,$F71=1),$BQ$3/$G71,0),0)</f>
        <v>0</v>
      </c>
      <c r="BF67" s="152">
        <f ca="1">IFERROR(IF(AND($H68&gt;0,$H71=2,$G71&lt;&gt;0,$J69/$G71&lt;1000,$J69/$G71&gt;499,$F71=1),$BR$3/$G71,0),0)</f>
        <v>0</v>
      </c>
      <c r="BG67" s="172">
        <f ca="1">IFERROR(IF(AND($H68&gt;0,$H71=3,$G71&lt;&gt;0,$J69/$G71&lt;1000,$J69/$G71&gt;499,$F71=1),$BS$3/$G71,0),0)</f>
        <v>0</v>
      </c>
      <c r="BI67" t="s">
        <v>1052</v>
      </c>
    </row>
    <row r="68" spans="1:61" ht="13.2">
      <c r="A68" s="260"/>
      <c r="B68" s="153">
        <f ca="1">IF(SUM(C68:G68)+I68=6,1,0)</f>
        <v>0</v>
      </c>
      <c r="C68" s="88">
        <f ca="1">IF(KLEJENIE!E71=1,1,IF(AND(C67&gt;267,C67&lt;2251),1,0))</f>
        <v>0</v>
      </c>
      <c r="D68" s="88">
        <f>IF((D67&gt;=50)*AND(D67&lt;1001),1,0)</f>
        <v>0</v>
      </c>
      <c r="E68" s="88">
        <f>IF((E67&gt;49)*AND(E67&lt;1401),1,0)</f>
        <v>0</v>
      </c>
      <c r="F68" s="88">
        <f ca="1">IF((F67&gt;599)*AND(F67&lt;2856),1,0)</f>
        <v>0</v>
      </c>
      <c r="G68" s="88" cm="1">
        <f t="array" aca="1" ref="G68" ca="1">IF(AND(G67&gt;399, IF(C71=1, G67&lt;1581, INDIRECT("'"&amp;Kalk!B36&amp;"'!L3")=1)),1,0)</f>
        <v>0</v>
      </c>
      <c r="H68" s="154">
        <f>Kalk!M67</f>
        <v>0</v>
      </c>
      <c r="I68" s="154">
        <f ca="1">IF(E67+((G67-E67)/2)&lt;1590,1,0)</f>
        <v>1</v>
      </c>
      <c r="J68" s="88">
        <f ca="1">IF(KLEJENIE!E$71=1,Kalk!AH37*2,Kalk!AH37)</f>
        <v>0</v>
      </c>
      <c r="K68" s="150">
        <f ca="1">IF(AND($C71=1,$J68&gt;0),IF($H68=100, SUM(AJ71:AU71)+($BT$2*$B71), SUM(AJ71:AU71)),IF(AND($B68=1,$J68&gt;0),SUM(AJ71:AU71) + IF(AND($H71&gt;1,$F71=0), $H71*0.05-0.05, 0),0))</f>
        <v>0</v>
      </c>
      <c r="L68" s="150">
        <f ca="1">IF(AND($H68=0,$H71=0,$B71&lt;2,$J66&gt;999,$J66&lt;3000,$F71=0),$BJ$4,0)</f>
        <v>0</v>
      </c>
      <c r="M68" s="150">
        <f ca="1">IF(AND($H68=0,$H71=0,$B71&gt;1.999,$J66&gt;999,$J66&lt;3000,$F71=0),$BK$4,0)</f>
        <v>0</v>
      </c>
      <c r="N68" s="151">
        <f ca="1">IF(AND($H68=25,$H71&gt;0,$B71&lt;2,$J66&gt;999,$J66&lt;3000,$F71=0),$BL$4,0)</f>
        <v>0</v>
      </c>
      <c r="O68" s="151">
        <f ca="1">IF(AND($H68=50,$H71&gt;0,$B71&lt;2,$J66&gt;999,$J66&lt;3000,$F71=0),$BM$4,0)</f>
        <v>0</v>
      </c>
      <c r="P68" s="151">
        <f ca="1">IF(AND($H68=100,$H71&gt;0,$B71&lt;2,$J66&gt;999,$J66&lt;3000,$F71=0),$BM$4+($BT$2*$B71),0)</f>
        <v>0</v>
      </c>
      <c r="Q68" s="152">
        <f ca="1">IF(AND($H68=25,$H71&gt;0,$B71&gt;1.999,$J66&gt;999,$J66&lt;3000,$F71=0),$BN$4,0)</f>
        <v>0</v>
      </c>
      <c r="R68" s="152">
        <f ca="1">IF(AND($H68=50,$H71&gt;0,$B71&gt;1.999,$J66&gt;999,$J66&lt;3000,$F71=0),$BO$4,0)</f>
        <v>0</v>
      </c>
      <c r="S68" s="152">
        <f ca="1">IF(AND($H68=100,$H71&gt;0,$J66&gt;999,$J66&lt;3000,$B71&gt;1.999,$F71=0),$BO$4+($BT$2*$B71),0)</f>
        <v>0</v>
      </c>
      <c r="T68" s="165">
        <f ca="1">IFERROR(IF(AND($H68=0,$H71=0,$J66/$G71&lt;3000,$J66/$G71&gt;999,$F71=1),$BP$4/$G71,0),0)</f>
        <v>0</v>
      </c>
      <c r="U68" s="151">
        <f ca="1">IFERROR(IF(AND($H68&gt;0,$H71=1,$J66/$G71&lt;3000,$J66/$G71&gt;999,$F71=1),$BQ$4/$G71,0),0)</f>
        <v>0</v>
      </c>
      <c r="V68" s="152">
        <f ca="1">IFERROR(IF(AND($H68&gt;0,$H71=2,$J66/$G71&lt;3000,$J66/$G71&gt;999,$F71=1),$BR$4/$G71,0),0)</f>
        <v>0</v>
      </c>
      <c r="W68" s="172">
        <f ca="1">IFERROR(IF(AND($H68&gt;0,$H71=3,$J66/$G71&lt;3000,$J66/$G71&gt;999,$F71=1),$BS$4/$G71,0),0)</f>
        <v>0</v>
      </c>
      <c r="X68" s="150">
        <f ca="1">IF(AND($H68=0,$H71=0,$B71&lt;2,$J67&gt;999,$J67&lt;3000,$F71=0),$BJ$4,0)</f>
        <v>0</v>
      </c>
      <c r="Y68" s="150">
        <f ca="1">IF(AND($H68=0,$H71=0,$B71&gt;1.999,$J67&gt;999,$J67&lt;3000,$F71=0),$BK$4,0)</f>
        <v>0</v>
      </c>
      <c r="Z68" s="151">
        <f ca="1">IF(AND($H68=25,$H71&gt;0,$B71&lt;2,$J67&gt;999,$J67&lt;3000,$F71=0),$BL$4,0)</f>
        <v>0</v>
      </c>
      <c r="AA68" s="151">
        <f ca="1">IF(AND($H68=50,$H71&gt;0,$B71&lt;2,$J67&gt;999,$J67&lt;3000,$F71=0),$BM$4,0)</f>
        <v>0</v>
      </c>
      <c r="AB68" s="151">
        <f ca="1">IF(AND($H68=100,$H71&gt;0,$B71&lt;2,$J67&gt;999,$J67&lt;3000,$F71=0),$BM$4+($BT$2*$B71),0)</f>
        <v>0</v>
      </c>
      <c r="AC68" s="152">
        <f ca="1">IF(AND($H68=25,$H71&gt;0,$B71&gt;1.999,$J67&gt;999,$J67&lt;3000,$F71=0),$BN$4,0)</f>
        <v>0</v>
      </c>
      <c r="AD68" s="152">
        <f ca="1">IF(AND($H68=50,$H71&gt;0,$B71&gt;1.999,$J67&gt;999,$J67&lt;3000,$F71=0),$BO$4,0)</f>
        <v>0</v>
      </c>
      <c r="AE68" s="152">
        <f ca="1">IF(AND($H68=50,$H71&gt;0,$B71&lt;2,$J67&gt;999,$J67&lt;3000,$F71=0),$BM$4,0)</f>
        <v>0</v>
      </c>
      <c r="AF68" s="165">
        <f ca="1">IF(AND($H68=100,$H71&gt;0,$B71&lt;2,$J67&gt;999,$J67&lt;3000,$F71=0),$BM$4+($BT$2*$B71),0)</f>
        <v>0</v>
      </c>
      <c r="AG68" s="151">
        <f ca="1">IF(AND($H68=25,$H71&gt;0,$B71&gt;1.999,$J67&gt;999,$J67&lt;3000,$F71=0),$BN$4,0)</f>
        <v>0</v>
      </c>
      <c r="AH68" s="152">
        <f ca="1">IF(AND($H68=50,$H71&gt;0,$B71&gt;1.999,$J67&gt;999,$J67&lt;3000,$F71=0),$BO$4,0)</f>
        <v>0</v>
      </c>
      <c r="AI68" s="172" t="e">
        <f ca="1">IF(AND($H68&gt;0,$H71=3,$G71&lt;&gt;0,$J67/$G71&gt;999,$J67/$G71&lt;3000,$F71=1),$BS$4/$G71,0)</f>
        <v>#DIV/0!</v>
      </c>
      <c r="AJ68" s="150">
        <f ca="1">IF(AND($H68=0,$H71=0,$B71&lt;2,$J68&gt;999,$J68&lt;3000,$F71=0),$BJ$4,0)</f>
        <v>0</v>
      </c>
      <c r="AK68" s="150">
        <f ca="1">IF(AND($H68=0,$H71=0,$B71&gt;1.999,$J68&gt;999,$J68&lt;3000,$F71=0),$BK$4,0)</f>
        <v>0</v>
      </c>
      <c r="AL68" s="151">
        <f ca="1">IF(AND($H68=25,$H71&gt;0,$B71&lt;2,$J68&gt;999,$J68&lt;3000,$F71=0),$BL$4,0)</f>
        <v>0</v>
      </c>
      <c r="AM68" s="151">
        <f ca="1">IF(AND($H68=50,$H71&gt;0,$B71&lt;2,$J68&gt;999,$J68&lt;3000,$F71=0),$BM$4,0)</f>
        <v>0</v>
      </c>
      <c r="AN68" s="151">
        <f ca="1">IF(AND($H68=100,$H71&gt;0,$B71&lt;2,$J68&gt;999,$J68&lt;3000,$F71=0),$BM$4+($BT$2*$B71),0)</f>
        <v>0</v>
      </c>
      <c r="AO68" s="152">
        <f ca="1">IF(AND($H68=25,$H71&gt;0,$B71&gt;1.999,$J68&gt;999,$J68&lt;3000,$F71=0),$BN$4,0)</f>
        <v>0</v>
      </c>
      <c r="AP68" s="152">
        <f ca="1">IF(AND($H68=50,$H71&gt;0,$B71&gt;1.999,$J68&gt;999,$J68&lt;3000,$F71=0),$BO$4,0)</f>
        <v>0</v>
      </c>
      <c r="AQ68" s="152">
        <f ca="1">IF(AND($H68=100,$H71&gt;0,$J68&gt;999,$J68&lt;3000,$B71&gt;1.999,$F71=0),$BO$4+($BT$2*$B71),0)</f>
        <v>0</v>
      </c>
      <c r="AR68" s="165" t="e">
        <f ca="1">IF(AND($H68=0,$H71=0,$G71&lt;&gt;0,$J68/$G71&lt;3000,$J68/$G71&gt;999,$F71=1),$BP$4/$G71,0)</f>
        <v>#DIV/0!</v>
      </c>
      <c r="AS68" s="151" t="e">
        <f ca="1">IF(AND($H68&gt;0,$H71=1,$G71&lt;&gt;0,$J68/$G71&lt;3000,$J68/$G71&gt;999,$F71=1),$BQ$4/$G71,0)</f>
        <v>#DIV/0!</v>
      </c>
      <c r="AT68" s="152" t="e">
        <f ca="1">IF(AND($H68&gt;0,$H71=2,$G71&lt;&gt;0,$J68/$G71&lt;3000,$J68/$G71&gt;999,$F71=1),$BR$4/$G71,0)</f>
        <v>#DIV/0!</v>
      </c>
      <c r="AU68" s="172" t="e">
        <f ca="1">IF(AND($H68&gt;0,$H71=3,$G71&lt;&gt;0,$J68/$G71&lt;3000,$J68/$G71&gt;999,$F71=1),$BS$4/$G71,0)</f>
        <v>#DIV/0!</v>
      </c>
      <c r="AV68" s="150">
        <f ca="1">IF(AND($H68=0,$H71=0,$B71&lt;2,$J69&gt;999,$J69&lt;3000,$F71=0),$BJ$4,0)</f>
        <v>0</v>
      </c>
      <c r="AW68" s="150">
        <f ca="1">IF(AND($H68=0,$H71=0,$B71&gt;1.999,$J69&gt;999,$J69&lt;3000,$F71=0),$BK$4,0)</f>
        <v>0</v>
      </c>
      <c r="AX68" s="151">
        <f ca="1">IF(AND($H68=25,$H71&gt;0,$B71&lt;2,$J69&gt;999,$J69&lt;3000,$F71=0),$BL$4,0)</f>
        <v>0</v>
      </c>
      <c r="AY68" s="151">
        <f ca="1">IF(AND($H68=50,$H71&gt;0,$B71&lt;2,$J69&gt;999,$J69&lt;3000,$F71=0),$BM$4,0)</f>
        <v>0</v>
      </c>
      <c r="AZ68" s="151">
        <f ca="1">IF(AND($H68=100,$H71&gt;0,$B71&lt;2,$J69&gt;999,$J69&lt;3000,$F71=0),$BM$4+($BT$2*$B71),0)</f>
        <v>0</v>
      </c>
      <c r="BA68" s="152">
        <f ca="1">IF(AND($H68=25,$H71&gt;0,$B71&gt;1.999,$J69&gt;999,$J69&lt;3000,$F71=0),$BN$4,0)</f>
        <v>0</v>
      </c>
      <c r="BB68" s="152">
        <f ca="1">IF(AND($H68=50,$H71&gt;0,$B71&gt;1.999,$J69&gt;999,$J69&lt;3000,$F71=0),$BO$4,0)</f>
        <v>0</v>
      </c>
      <c r="BC68" s="152">
        <f ca="1">IF(AND($H68=100,$H71&gt;0,$J69&gt;999,$J69&lt;3000,$B71&gt;1.999,$F71=0),$BO$4+($BT$2*$B71),0)</f>
        <v>0</v>
      </c>
      <c r="BD68" s="165">
        <f ca="1">IFERROR(IF(AND($H68=0,$H71=0,$G71&lt;&gt;0,$J69/$G71&lt;3000,$J69/$G71&gt;999,$F71=1),$BP$4/$G71,0),0)</f>
        <v>0</v>
      </c>
      <c r="BE68" s="151">
        <f ca="1">IFERROR(IF(AND($H68&gt;0,$H71=1,$G71&lt;&gt;0,$J69/$G71&lt;3000,$J69/$G71&gt;999,$F71=1),$BQ$4/$G71,0),0)</f>
        <v>0</v>
      </c>
      <c r="BF68" s="152">
        <f ca="1">IFERROR(IF(AND($H68&gt;0,$H71=2,$G71&lt;&gt;0,$J69/$G71&lt;3000,$J69/$G71&gt;999,$F71=1),$BR$4/$G71,0),0)</f>
        <v>0</v>
      </c>
      <c r="BG68" s="172">
        <f ca="1">IFERROR(IF(AND($H68&gt;0,$H71=3,$G71&lt;&gt;0,$J69/$G71&lt;3000,$J69/$G71&gt;999,$F71=1),$BS$4/$G71,0),0)</f>
        <v>0</v>
      </c>
    </row>
    <row r="69" spans="1:61" ht="23.85" customHeight="1">
      <c r="A69" s="260"/>
      <c r="B69" s="275" t="s">
        <v>968</v>
      </c>
      <c r="C69" s="274" t="s">
        <v>986</v>
      </c>
      <c r="D69" s="268" t="s">
        <v>987</v>
      </c>
      <c r="E69" s="268"/>
      <c r="F69" s="275" t="s">
        <v>988</v>
      </c>
      <c r="G69" s="149" t="s">
        <v>989</v>
      </c>
      <c r="H69" s="269" t="s">
        <v>971</v>
      </c>
      <c r="I69" s="149"/>
      <c r="J69" s="88">
        <f ca="1">IF(KLEJENIE!E$71=1,Kalk!AH38*2,Kalk!AH38)</f>
        <v>0</v>
      </c>
      <c r="K69" s="150">
        <f ca="1">IF(AND($C71=1,$J69&gt;0),IF($H68=100, SUM(AV71:BG71)+($BT$2*$B71), SUM(AV71:BG71)),IF(AND($B68=1,$J69&gt;0),SUM(AV71:BG71) + IF(AND($H71&gt;1,$F71=0), $H71*0.05-0.05, 0),0))</f>
        <v>0</v>
      </c>
      <c r="L69" s="150">
        <f ca="1">IF(AND($H68=0,$H71=0,$B71&lt;2,$J66&gt;2999,$F71=0),$BJ$5,0)</f>
        <v>0</v>
      </c>
      <c r="M69" s="150">
        <f ca="1">IF(AND($H68=0,$H71=0,$B71&gt;1.999,$J66&gt;2999,$F71=0),$BK$5,0)</f>
        <v>0</v>
      </c>
      <c r="N69" s="151">
        <f ca="1">IF(AND($H68=25,$H71&gt;0,$B71&lt;2,$J66&gt;2999,$F71=0),$BL$5,0)</f>
        <v>0</v>
      </c>
      <c r="O69" s="151">
        <f ca="1">IF(AND($H68=50,$H71&gt;0,$B71&lt;2,$J66&gt;2999,$F71=0),$BM$5,0)</f>
        <v>0</v>
      </c>
      <c r="P69" s="151">
        <f ca="1">IF(AND($H68=100,$H71&gt;0,$J66&gt;2999,$B71&lt;2,$F71=0),$BM$5+($BT$2*$B71),0)</f>
        <v>0</v>
      </c>
      <c r="Q69" s="152">
        <f ca="1">IF(AND($H68=25,$H71&gt;0,$B71&gt;1.999,$J66&gt;2999,$F71=0),$BN$5,0)</f>
        <v>0</v>
      </c>
      <c r="R69" s="152">
        <f ca="1">IF(AND($H68=50,$H71&gt;0,$B71&gt;1.999,$J66&gt;2999,$F71=0),$BO$5,0)</f>
        <v>0</v>
      </c>
      <c r="S69" s="152">
        <f ca="1">IF(AND($H68=100,$H71&gt;0,$J66&gt;2999,$B71&gt;1.999,$F71=0),$BO$5+($BT$2*$B71),0)</f>
        <v>0</v>
      </c>
      <c r="T69" s="165">
        <f ca="1">IFERROR(IF(AND($H68=0,$H71=0,$J66/$G71&gt;2999,$F71=1),$BP$5/$G71,0),0)</f>
        <v>0</v>
      </c>
      <c r="U69" s="151">
        <f ca="1">IFERROR(IF(AND($H68&gt;0,$H71=1,$J66/$G71&gt;2999,$F71=1),$BQ$5/$G71,0),0)</f>
        <v>0</v>
      </c>
      <c r="V69" s="152">
        <f ca="1">IFERROR(IF(AND($H68&gt;0,$H71=2,$J66/$G71&gt;2999,$F71=1),$BR$5/$G71,0),0)</f>
        <v>0</v>
      </c>
      <c r="W69" s="172">
        <f ca="1">IFERROR(IF(AND($H68&gt;0,$H71=3,$J66/$G71&gt;2999,$F71=1),$BS$5/$G71,0),0)</f>
        <v>0</v>
      </c>
      <c r="X69" s="150">
        <f ca="1">IF(AND($H68=0,$H71=0,$B71&lt;2,$J67&gt;2999,$F71=0),$BJ$5,0)</f>
        <v>0</v>
      </c>
      <c r="Y69" s="150">
        <f ca="1">IF(AND($H68=0,$H71=0,$B71&gt;1.999,$J67&gt;2999,$F71=0),$BK$5,0)</f>
        <v>0</v>
      </c>
      <c r="Z69" s="151">
        <f ca="1">IF(AND($H68=25,$H71&gt;0,$B71&lt;2,$J67&gt;2999,$F71=0),$BL$5,0)</f>
        <v>0</v>
      </c>
      <c r="AA69" s="151">
        <f ca="1">IF(AND($H68=50,$H71&gt;0,$B71&lt;2,$J67&gt;2999,$F71=0),$BM$5,0)</f>
        <v>0</v>
      </c>
      <c r="AB69" s="151">
        <f ca="1">IF(AND($H68=100,$H71&gt;0,$J67&gt;2999,$B71&lt;2,$F71=0),$BM$5+($BT$2*$B71),0)</f>
        <v>0</v>
      </c>
      <c r="AC69" s="152">
        <f ca="1">IF(AND($H68=25,$H71&gt;0,$B71&gt;1.999,$J67&gt;2999,$F71=0),$BN$5,0)</f>
        <v>0</v>
      </c>
      <c r="AD69" s="152">
        <f ca="1">IF(AND($H68=50,$H71&gt;0,$B71&gt;1.999,$J67&gt;2999,$F71=0),$BO$5,0)</f>
        <v>0</v>
      </c>
      <c r="AE69" s="152">
        <f ca="1">IF(AND($H68=50,$H71&gt;0,$B71&lt;2,$J67&gt;2999,$F71=0),$BM$5,0)</f>
        <v>0</v>
      </c>
      <c r="AF69" s="165">
        <f ca="1">IF(AND($H68=100,$H71&gt;0,$J67&gt;2999,$B71&lt;2,$F71=0),$BM$5+($BT$2*$B71),0)</f>
        <v>0</v>
      </c>
      <c r="AG69" s="151">
        <f ca="1">IF(AND($H68=25,$H71&gt;0,$B71&gt;1.999,$J67&gt;2999,$F71=0),$BN$5,0)</f>
        <v>0</v>
      </c>
      <c r="AH69" s="152">
        <f ca="1">IF(AND($H68=50,$H71&gt;0,$B71&gt;1.999,$J67&gt;2999,$F71=0),$BO$5,0)</f>
        <v>0</v>
      </c>
      <c r="AI69" s="172" t="e">
        <f ca="1">IF(AND($H68&gt;0,$H71=3,$G71&lt;&gt;0,$J67/$G71&gt;2999,$F71=1),$BS$5/$G71,0)</f>
        <v>#DIV/0!</v>
      </c>
      <c r="AJ69" s="150">
        <f ca="1">IF(AND($H68=0,$H71=0,$B71&lt;2,$J68&gt;2999,$F71=0),$BJ$5,0)</f>
        <v>0</v>
      </c>
      <c r="AK69" s="150">
        <f ca="1">IF(AND($H68=0,$H71=0,$B71&gt;1.999,$J68&gt;2999,$F71=0),$BK$5,0)</f>
        <v>0</v>
      </c>
      <c r="AL69" s="151">
        <f ca="1">IF(AND($H68=25,$H71&gt;0,$B71&lt;2,$J68&gt;2999,$F71=0),$BL$5,0)</f>
        <v>0</v>
      </c>
      <c r="AM69" s="151">
        <f ca="1">IF(AND($H68=50,$H71&gt;0,$B71&lt;2,$J68&gt;2999,$F71=0),$BM$5,0)</f>
        <v>0</v>
      </c>
      <c r="AN69" s="151">
        <f ca="1">IF(AND($H68=100,$H71&gt;0,$J68&gt;2999,$B71&lt;2,$F71=0),$BM$5+($BT$2*$B71),0)</f>
        <v>0</v>
      </c>
      <c r="AO69" s="152">
        <f ca="1">IF(AND($H68=25,$H71&gt;0,$B71&gt;1.999,$J68&gt;2999,$F71=0),$BN$5,0)</f>
        <v>0</v>
      </c>
      <c r="AP69" s="152">
        <f ca="1">IF(AND($H68=50,$H71&gt;0,$B71&gt;1.999,$J68&gt;2999,$F71=0),$BO$5,0)</f>
        <v>0</v>
      </c>
      <c r="AQ69" s="152">
        <f ca="1">IF(AND($H68=100,$H71&gt;0,$J68&gt;2999,$B71&gt;1.999,$F71=0),$BO$5+($BT$2*$B71),0)</f>
        <v>0</v>
      </c>
      <c r="AR69" s="165" t="e">
        <f ca="1">IF(AND($H68=0,$H71=0,$G71&lt;&gt;0,$J68/$G71&gt;2999,$F71=1),$BP$5/$G71,0)</f>
        <v>#DIV/0!</v>
      </c>
      <c r="AS69" s="151" t="e">
        <f ca="1">IF(AND($H68&gt;0,$H71=1,$G71&lt;&gt;0,$J68/$G71&gt;2999,$F71=1),$BQ$5/$G71,0)</f>
        <v>#DIV/0!</v>
      </c>
      <c r="AT69" s="152" t="e">
        <f ca="1">IF(AND($H68&gt;0,$H71=2,$G71&lt;&gt;0,$J68/$G71&gt;2999,$F71=1),$BR$5/$G71,0)</f>
        <v>#DIV/0!</v>
      </c>
      <c r="AU69" s="172" t="e">
        <f ca="1">IF(AND($H68&gt;0,$H71=3,$G71&lt;&gt;0,$J68/$G71&gt;2999,$F71=1),$BS$5/$G71,0)</f>
        <v>#DIV/0!</v>
      </c>
      <c r="AV69" s="150">
        <f ca="1">IF(AND($H68=0,$H71=0,$B71&lt;2,$J69&gt;2999,$F71=0),$BJ$5,0)</f>
        <v>0</v>
      </c>
      <c r="AW69" s="150">
        <f ca="1">IF(AND($H68=0,$H71=0,$B71&gt;1.999,$J69&gt;2999,$F71=0),$BK$5,0)</f>
        <v>0</v>
      </c>
      <c r="AX69" s="151">
        <f ca="1">IF(AND($H68=25,$H71&gt;0,$B71&lt;2,$J69&gt;2999,$F71=0),$BL$5,0)</f>
        <v>0</v>
      </c>
      <c r="AY69" s="151">
        <f ca="1">IF(AND($H68=50,$H71&gt;0,$B71&lt;2,$J69&gt;2999,$F71=0),$BM$5,0)</f>
        <v>0</v>
      </c>
      <c r="AZ69" s="151">
        <f ca="1">IF(AND($H68=100,$H71&gt;0,$B71&lt;2,$J69&gt;2999,$F71=0),$BM$5+($BT$2*$B71),0)</f>
        <v>0</v>
      </c>
      <c r="BA69" s="152">
        <f ca="1">IF(AND($H68=25,$H71&gt;0,$B71&gt;1.999,$J69&gt;2999,$F71=0),$BN$5,0)</f>
        <v>0</v>
      </c>
      <c r="BB69" s="152">
        <f ca="1">IF(AND($H68=50,$H71&gt;0,$B71&gt;1.999,$J69&gt;2999,$F71=0),$BO$5,0)</f>
        <v>0</v>
      </c>
      <c r="BC69" s="152">
        <f ca="1">IF(AND($H68=100,$H71&gt;0,$J69&gt;2999,$B71&gt;1.999,$F71=0),$BO$5+($BT$2*$B71),0)</f>
        <v>0</v>
      </c>
      <c r="BD69" s="165">
        <f ca="1">IFERROR(IF(AND($H68=0,$H71=0,$G71&lt;&gt;0,$J69/$G71&gt;2999,$F71=1),$BP$5/$G71,0),0)</f>
        <v>0</v>
      </c>
      <c r="BE69" s="151">
        <f ca="1">IFERROR(IF(AND($H68&gt;0,$H71=1,$G71&lt;&gt;0,$J69/$G71&gt;2999,$F71=1),$BQ$5/$G71,0),0)</f>
        <v>0</v>
      </c>
      <c r="BF69" s="152">
        <f ca="1">IFERROR(IF(AND($H68&gt;0,$H71=2,$G71&lt;&gt;0,$J69/$G71&gt;2999,$F71=1),$BR$5/$G71,0),0)</f>
        <v>0</v>
      </c>
      <c r="BG69" s="172">
        <f ca="1">IFERROR(IF(AND($H68&gt;0,$H71=3,$G71&lt;&gt;0,$J69/$G71&gt;2999,$F71=1),$BS$5/$G71,0),0)</f>
        <v>0</v>
      </c>
    </row>
    <row r="70" spans="1:61" ht="13.35" customHeight="1">
      <c r="A70" s="260"/>
      <c r="B70" s="275"/>
      <c r="C70" s="274"/>
      <c r="D70" s="147"/>
      <c r="E70" s="147"/>
      <c r="F70" s="275"/>
      <c r="G70" s="178"/>
      <c r="H70" s="269"/>
      <c r="I70" s="178"/>
      <c r="J70" s="6"/>
      <c r="K70" s="157"/>
      <c r="L70" s="162"/>
      <c r="M70" s="162"/>
      <c r="N70" s="272" t="s">
        <v>975</v>
      </c>
      <c r="O70" s="272"/>
      <c r="P70" s="272"/>
      <c r="Q70" s="273" t="s">
        <v>976</v>
      </c>
      <c r="R70" s="273"/>
      <c r="S70" s="273"/>
      <c r="T70" s="271" t="s">
        <v>992</v>
      </c>
      <c r="U70" s="271"/>
      <c r="V70" s="271"/>
      <c r="W70" s="271"/>
      <c r="X70" s="162"/>
      <c r="Y70" s="162"/>
      <c r="Z70" s="272" t="s">
        <v>975</v>
      </c>
      <c r="AA70" s="272"/>
      <c r="AB70" s="272"/>
      <c r="AC70" s="273" t="s">
        <v>976</v>
      </c>
      <c r="AD70" s="273"/>
      <c r="AE70" s="273"/>
      <c r="AF70" s="271" t="s">
        <v>992</v>
      </c>
      <c r="AG70" s="271"/>
      <c r="AH70" s="271"/>
      <c r="AI70" s="271"/>
      <c r="AJ70" s="162"/>
      <c r="AK70" s="162"/>
      <c r="AL70" s="272" t="s">
        <v>975</v>
      </c>
      <c r="AM70" s="272"/>
      <c r="AN70" s="272"/>
      <c r="AO70" s="273" t="s">
        <v>976</v>
      </c>
      <c r="AP70" s="273"/>
      <c r="AQ70" s="273"/>
      <c r="AR70" s="271" t="s">
        <v>992</v>
      </c>
      <c r="AS70" s="271"/>
      <c r="AT70" s="271"/>
      <c r="AU70" s="271"/>
      <c r="AV70" s="162"/>
      <c r="AW70" s="162"/>
      <c r="AX70" s="272" t="s">
        <v>975</v>
      </c>
      <c r="AY70" s="272"/>
      <c r="AZ70" s="272"/>
      <c r="BA70" s="273" t="s">
        <v>976</v>
      </c>
      <c r="BB70" s="273"/>
      <c r="BC70" s="273"/>
      <c r="BD70" s="271" t="s">
        <v>992</v>
      </c>
      <c r="BE70" s="271"/>
      <c r="BF70" s="271"/>
      <c r="BG70" s="271"/>
    </row>
    <row r="71" spans="1:61" ht="13.2">
      <c r="A71" s="260"/>
      <c r="B71" s="158">
        <f ca="1">IF(KLEJENIE!E71=1,Kalk!J67/2,Kalk!J67)</f>
        <v>0</v>
      </c>
      <c r="C71" s="153">
        <f ca="1">IF(SUM(D71:F71)=3,1,0)</f>
        <v>0</v>
      </c>
      <c r="D71" s="88">
        <f ca="1">IF((F67&gt;599)*AND(F67&lt;2851),1,0)</f>
        <v>0</v>
      </c>
      <c r="E71" s="88">
        <f ca="1">IF((G67&gt;399)*AND(G67&lt;1566),1,0)</f>
        <v>0</v>
      </c>
      <c r="F71" s="154">
        <f>IF(Kalk!B67="Die cut",1,0)</f>
        <v>0</v>
      </c>
      <c r="G71" s="154">
        <f>Kalk!J69*Kalk!J70</f>
        <v>0</v>
      </c>
      <c r="H71" s="154">
        <f>Kalk!W67</f>
        <v>0</v>
      </c>
      <c r="I71" s="154">
        <f>IF(OR(I70="F0200",I70="F0201",I70="F0202",I70="F0203",I70="F0201-F0203",I70="F0200-F0203",I70="F0501",I70="F0452"),1,0)</f>
        <v>0</v>
      </c>
      <c r="J71" s="160"/>
      <c r="K71" s="161"/>
      <c r="L71" s="88">
        <f t="shared" ref="L71:BG71" ca="1" si="8">SUM(L66:L70)</f>
        <v>0</v>
      </c>
      <c r="M71" s="88">
        <f t="shared" ca="1" si="8"/>
        <v>0</v>
      </c>
      <c r="N71" s="88">
        <f t="shared" ca="1" si="8"/>
        <v>0</v>
      </c>
      <c r="O71" s="88">
        <f t="shared" ca="1" si="8"/>
        <v>0</v>
      </c>
      <c r="P71" s="88">
        <f t="shared" ca="1" si="8"/>
        <v>0</v>
      </c>
      <c r="Q71" s="88">
        <f t="shared" ca="1" si="8"/>
        <v>0</v>
      </c>
      <c r="R71" s="88">
        <f t="shared" ca="1" si="8"/>
        <v>0</v>
      </c>
      <c r="S71" s="88">
        <f t="shared" ca="1" si="8"/>
        <v>0</v>
      </c>
      <c r="T71" s="88">
        <f t="shared" ca="1" si="8"/>
        <v>0</v>
      </c>
      <c r="U71" s="88">
        <f t="shared" ca="1" si="8"/>
        <v>0</v>
      </c>
      <c r="V71" s="88">
        <f t="shared" ca="1" si="8"/>
        <v>0</v>
      </c>
      <c r="W71" s="88">
        <f t="shared" ca="1" si="8"/>
        <v>0</v>
      </c>
      <c r="X71" s="88">
        <f t="shared" ca="1" si="8"/>
        <v>0</v>
      </c>
      <c r="Y71" s="88">
        <f t="shared" ca="1" si="8"/>
        <v>0</v>
      </c>
      <c r="Z71" s="88">
        <f t="shared" ca="1" si="8"/>
        <v>0</v>
      </c>
      <c r="AA71" s="88">
        <f t="shared" ca="1" si="8"/>
        <v>0</v>
      </c>
      <c r="AB71" s="88">
        <f t="shared" ca="1" si="8"/>
        <v>0</v>
      </c>
      <c r="AC71" s="88">
        <f t="shared" ca="1" si="8"/>
        <v>0</v>
      </c>
      <c r="AD71" s="88">
        <f t="shared" ca="1" si="8"/>
        <v>0</v>
      </c>
      <c r="AE71" s="88">
        <f t="shared" ca="1" si="8"/>
        <v>0</v>
      </c>
      <c r="AF71" s="88">
        <f t="shared" ca="1" si="8"/>
        <v>0</v>
      </c>
      <c r="AG71" s="88">
        <f t="shared" ca="1" si="8"/>
        <v>0</v>
      </c>
      <c r="AH71" s="88">
        <f t="shared" ca="1" si="8"/>
        <v>0</v>
      </c>
      <c r="AI71" s="88" t="e">
        <f t="shared" ca="1" si="8"/>
        <v>#DIV/0!</v>
      </c>
      <c r="AJ71" s="88">
        <f t="shared" ca="1" si="8"/>
        <v>0</v>
      </c>
      <c r="AK71" s="88">
        <f t="shared" ca="1" si="8"/>
        <v>0</v>
      </c>
      <c r="AL71" s="88">
        <f t="shared" ca="1" si="8"/>
        <v>0</v>
      </c>
      <c r="AM71" s="88">
        <f t="shared" ca="1" si="8"/>
        <v>0</v>
      </c>
      <c r="AN71" s="88">
        <f t="shared" ca="1" si="8"/>
        <v>0</v>
      </c>
      <c r="AO71" s="88">
        <f t="shared" ca="1" si="8"/>
        <v>0</v>
      </c>
      <c r="AP71" s="88">
        <f t="shared" ca="1" si="8"/>
        <v>0</v>
      </c>
      <c r="AQ71" s="88">
        <f t="shared" ca="1" si="8"/>
        <v>0</v>
      </c>
      <c r="AR71" s="88" t="e">
        <f t="shared" ca="1" si="8"/>
        <v>#DIV/0!</v>
      </c>
      <c r="AS71" s="88" t="e">
        <f t="shared" ca="1" si="8"/>
        <v>#DIV/0!</v>
      </c>
      <c r="AT71" s="88" t="e">
        <f t="shared" ca="1" si="8"/>
        <v>#DIV/0!</v>
      </c>
      <c r="AU71" s="88" t="e">
        <f t="shared" ca="1" si="8"/>
        <v>#DIV/0!</v>
      </c>
      <c r="AV71" s="88">
        <f t="shared" ca="1" si="8"/>
        <v>0</v>
      </c>
      <c r="AW71" s="88">
        <f t="shared" ca="1" si="8"/>
        <v>0</v>
      </c>
      <c r="AX71" s="88">
        <f t="shared" ca="1" si="8"/>
        <v>0</v>
      </c>
      <c r="AY71" s="88">
        <f t="shared" ca="1" si="8"/>
        <v>0</v>
      </c>
      <c r="AZ71" s="88">
        <f t="shared" ca="1" si="8"/>
        <v>0</v>
      </c>
      <c r="BA71" s="88">
        <f t="shared" ca="1" si="8"/>
        <v>0</v>
      </c>
      <c r="BB71" s="88">
        <f t="shared" ca="1" si="8"/>
        <v>0</v>
      </c>
      <c r="BC71" s="88">
        <f t="shared" ca="1" si="8"/>
        <v>0</v>
      </c>
      <c r="BD71" s="88">
        <f t="shared" ca="1" si="8"/>
        <v>0</v>
      </c>
      <c r="BE71" s="88">
        <f t="shared" ca="1" si="8"/>
        <v>0</v>
      </c>
      <c r="BF71" s="88">
        <f t="shared" ca="1" si="8"/>
        <v>0</v>
      </c>
      <c r="BG71" s="88">
        <f t="shared" ca="1" si="8"/>
        <v>0</v>
      </c>
    </row>
    <row r="72" spans="1:61" ht="13.2">
      <c r="A72" s="260"/>
      <c r="B72" s="123"/>
      <c r="C72" s="123"/>
      <c r="D72" s="123"/>
      <c r="E72" s="168"/>
      <c r="F72" s="166"/>
      <c r="G72" s="166"/>
      <c r="H72" s="169"/>
      <c r="I72" s="169"/>
      <c r="J72" s="166"/>
    </row>
    <row r="73" spans="1:61" ht="13.2">
      <c r="B73" s="167"/>
      <c r="C73" s="167"/>
      <c r="D73" s="167"/>
      <c r="E73" s="167"/>
      <c r="F73" s="167"/>
      <c r="G73" s="167"/>
      <c r="H73" s="167"/>
      <c r="I73" s="167"/>
      <c r="J73" s="88" t="s">
        <v>83</v>
      </c>
      <c r="K73" s="110" t="s">
        <v>956</v>
      </c>
      <c r="L73" s="110" t="s">
        <v>975</v>
      </c>
      <c r="M73" s="110" t="s">
        <v>976</v>
      </c>
      <c r="N73" s="116" t="s">
        <v>958</v>
      </c>
      <c r="O73" s="116" t="s">
        <v>959</v>
      </c>
      <c r="P73" s="116" t="s">
        <v>960</v>
      </c>
      <c r="Q73" s="146" t="s">
        <v>958</v>
      </c>
      <c r="R73" s="146" t="s">
        <v>959</v>
      </c>
      <c r="S73" s="146" t="s">
        <v>960</v>
      </c>
      <c r="T73" s="88" t="s">
        <v>977</v>
      </c>
      <c r="U73" s="108" t="s">
        <v>978</v>
      </c>
      <c r="V73" s="170" t="s">
        <v>979</v>
      </c>
      <c r="W73" s="171" t="s">
        <v>980</v>
      </c>
      <c r="X73" s="110" t="s">
        <v>975</v>
      </c>
      <c r="Y73" s="110" t="s">
        <v>976</v>
      </c>
      <c r="Z73" s="116" t="s">
        <v>958</v>
      </c>
      <c r="AA73" s="116" t="s">
        <v>959</v>
      </c>
      <c r="AB73" s="116" t="s">
        <v>960</v>
      </c>
      <c r="AC73" s="146" t="s">
        <v>958</v>
      </c>
      <c r="AD73" s="146" t="s">
        <v>959</v>
      </c>
      <c r="AE73" s="146" t="s">
        <v>960</v>
      </c>
      <c r="AF73" s="88" t="s">
        <v>977</v>
      </c>
      <c r="AG73" s="108" t="s">
        <v>978</v>
      </c>
      <c r="AH73" s="170" t="s">
        <v>979</v>
      </c>
      <c r="AI73" s="171" t="s">
        <v>980</v>
      </c>
      <c r="AJ73" s="110" t="s">
        <v>975</v>
      </c>
      <c r="AK73" s="110" t="s">
        <v>976</v>
      </c>
      <c r="AL73" s="116" t="s">
        <v>958</v>
      </c>
      <c r="AM73" s="116" t="s">
        <v>959</v>
      </c>
      <c r="AN73" s="116" t="s">
        <v>960</v>
      </c>
      <c r="AO73" s="146" t="s">
        <v>958</v>
      </c>
      <c r="AP73" s="146" t="s">
        <v>959</v>
      </c>
      <c r="AQ73" s="146" t="s">
        <v>960</v>
      </c>
      <c r="AR73" s="88" t="s">
        <v>977</v>
      </c>
      <c r="AS73" s="108" t="s">
        <v>978</v>
      </c>
      <c r="AT73" s="170" t="s">
        <v>979</v>
      </c>
      <c r="AU73" s="171" t="s">
        <v>980</v>
      </c>
      <c r="AV73" s="110" t="s">
        <v>975</v>
      </c>
      <c r="AW73" s="110" t="s">
        <v>976</v>
      </c>
      <c r="AX73" s="116" t="s">
        <v>958</v>
      </c>
      <c r="AY73" s="116" t="s">
        <v>959</v>
      </c>
      <c r="AZ73" s="116" t="s">
        <v>960</v>
      </c>
      <c r="BA73" s="146" t="s">
        <v>958</v>
      </c>
      <c r="BB73" s="146" t="s">
        <v>959</v>
      </c>
      <c r="BC73" s="146" t="s">
        <v>960</v>
      </c>
      <c r="BD73" s="88" t="s">
        <v>977</v>
      </c>
      <c r="BE73" s="108" t="s">
        <v>978</v>
      </c>
      <c r="BF73" s="170" t="s">
        <v>979</v>
      </c>
      <c r="BG73" s="171" t="s">
        <v>980</v>
      </c>
    </row>
    <row r="74" spans="1:61" ht="12.9" customHeight="1">
      <c r="A74" s="260">
        <v>10</v>
      </c>
      <c r="B74" s="274" t="s">
        <v>982</v>
      </c>
      <c r="C74" s="147" t="s">
        <v>56</v>
      </c>
      <c r="D74" s="147" t="s">
        <v>57</v>
      </c>
      <c r="E74" s="147" t="s">
        <v>66</v>
      </c>
      <c r="F74" s="268" t="s">
        <v>963</v>
      </c>
      <c r="G74" s="268"/>
      <c r="H74" s="269" t="s">
        <v>965</v>
      </c>
      <c r="I74" s="269" t="s">
        <v>970</v>
      </c>
      <c r="J74" s="88">
        <f ca="1">IF(KLEJENIE!E$79=1,Kalk!AH39*2,Kalk!AH39)</f>
        <v>0</v>
      </c>
      <c r="K74" s="150">
        <f ca="1">IF(AND($C79=1,$J74&gt;0),IF($H76=100, SUM(L79:W79)+($BT$2*$B79), SUM(L79:W79)),IF(AND($B76=1,$J74&gt;0),SUM(L79:W79)+IF(AND($H79&gt;1,$F79=0), $H79*0.05-0.05, 0),0))</f>
        <v>0</v>
      </c>
      <c r="L74" s="150">
        <f ca="1">IF(AND($H76=0,$H79=0,$J74&lt;500,$J74&gt;0,$B79&lt;2,$F79=0),BJ74/$J74,0)</f>
        <v>0</v>
      </c>
      <c r="M74" s="150">
        <f ca="1">IF(AND($H76=0,$H79=0,$J74&lt;500,$J74&gt;0,$B79&gt;1.999,$F79=0),BK74/$J74,0)</f>
        <v>0</v>
      </c>
      <c r="N74" s="151">
        <f ca="1">IF(AND($H79&gt;0,$H76=25,$B79&lt;2,$J74&lt;500,$F79=0),BV77/$J74,0)</f>
        <v>0</v>
      </c>
      <c r="O74" s="151">
        <f ca="1">IF(AND($H79&gt;0,$H76=50,$B79&lt;2,$J74&gt;0,$J74&lt;500,$F79=0),150/$J74,0)</f>
        <v>0</v>
      </c>
      <c r="P74" s="151">
        <f ca="1">IF(AND($H79&gt;0,$H76=100,$J74&gt;0,$J74&lt;500,$B79&lt;2,$F79=0),(BV77/$J74)+($BT$2*$B79),0)</f>
        <v>0</v>
      </c>
      <c r="Q74" s="152">
        <f ca="1">IF(AND($H79&gt;0,$H76=25,$J74&gt;0,$J74&lt;500,$B79&gt;1.999,$F79=0),BV77/$J74,0)</f>
        <v>0</v>
      </c>
      <c r="R74" s="152">
        <f ca="1">IF(AND($H79&gt;0,$H76=50,$J74&lt;500,$B79&gt;1.999,$F79=0),150/$J74,0)</f>
        <v>0</v>
      </c>
      <c r="S74" s="152">
        <f ca="1">IF(AND($H79&gt;0,$H76=100,$J74&lt;500,$B79&gt;1.999,$F79=0),(BV77/$J74)+($BT$2*$B79),0)</f>
        <v>0</v>
      </c>
      <c r="T74" s="165">
        <f ca="1">IFERROR(IF(AND($H76=0,$H79=0,$G79&lt;&gt;0,$J74&lt;&gt;0,$J74/$G79&lt;500,$J74/$G79&gt;0,$F79=1),BP74/$J74,0),0)</f>
        <v>0</v>
      </c>
      <c r="U74" s="151">
        <f ca="1">IFERROR(IF(AND($H76&gt;0,$H79=1,$J74/$G79&lt;500,$J74/$G79&gt;0,$F79=1),BQ74/$J74,0),0)</f>
        <v>0</v>
      </c>
      <c r="V74" s="152">
        <f ca="1">IFERROR(IF(AND($H76&gt;0,$H79=2,$J74/$G79&lt;500,$J74/$G79&gt;0,$F79=1),BR74/$J74,0),0)</f>
        <v>0</v>
      </c>
      <c r="W74" s="172">
        <f ca="1">IFERROR(IF(AND($H76&gt;0,$H79=3,$J74/$G79&lt;500,$J74/$G79&gt;0,$F79=1),BS74/$J74,0),0)</f>
        <v>0</v>
      </c>
      <c r="X74" s="150">
        <f ca="1">IF(AND($H76=0,$H79=0,$J75&lt;500,$J75&gt;0,$B79&lt;2,$F79=0),BJ74/$J75,0)</f>
        <v>0</v>
      </c>
      <c r="Y74" s="150">
        <f ca="1">IF(AND($H76=0,$H79=0,$J75&lt;500,$J75&gt;0,$B79&gt;1.999,$F79=0),BK74/$J75,0)</f>
        <v>0</v>
      </c>
      <c r="Z74" s="151">
        <f ca="1">IF(AND($H79&gt;0,$H76=25,$B79&lt;2,$J75&lt;500,$F79=0),BV77/$J75,0)</f>
        <v>0</v>
      </c>
      <c r="AA74" s="151">
        <f ca="1">IF(AND($H79&gt;0,$H76=50,$B79&lt;2,$J75&lt;500,$F79=0),150/$J75,0)</f>
        <v>0</v>
      </c>
      <c r="AB74" s="151">
        <f ca="1">IF(AND($H79&gt;0,$H76=100,$J75&lt;500,$B79&lt;2,$F79=0),(BV77/$J75)+($BT$2*$B79),0)</f>
        <v>0</v>
      </c>
      <c r="AC74" s="152">
        <f ca="1">IF(AND($H79&gt;0,$H76=25,$J75&lt;500,$B79&gt;1.999,$F79=0),BV77/$J75,0)</f>
        <v>0</v>
      </c>
      <c r="AD74" s="152">
        <f ca="1">IF(AND($H79&gt;0,$H76=50,$J75&lt;500,$B79&gt;1.999,$F79=0),150/$J75,0)</f>
        <v>0</v>
      </c>
      <c r="AE74" s="152">
        <f ca="1">IF(AND($H79&gt;0,$H76=50,$B79&lt;2,$J75&gt;0,$J75&lt;500,$F79=0),150/$J75,0)</f>
        <v>0</v>
      </c>
      <c r="AF74" s="165">
        <f ca="1">IF(AND($H79&gt;0,$H76=100,$J75&gt;0,$J75&lt;500,$B79&lt;2,$F79=0),(BV77/$J75)+($BT$2*$B79),0)</f>
        <v>0</v>
      </c>
      <c r="AG74" s="151">
        <f ca="1">IF(AND($H79&gt;0,$H76=25,$J75&gt;0,$J75&lt;500,$B79&gt;1.999,$F79=0),BV77/$J75,0)</f>
        <v>0</v>
      </c>
      <c r="AH74" s="152">
        <f ca="1">IF(AND($H79&gt;0,$H76=50,$J75&gt;0,$J75&lt;500,$B79&gt;1.999,$F79=0),150/$J75,0)</f>
        <v>0</v>
      </c>
      <c r="AI74" s="172" t="e">
        <f ca="1">IF(AND($H76&gt;0,$H79=3,$G79&lt;&gt;0,$J75&gt;0,$J75/$G79&gt;0,$J75/$G79&lt;500,$F79=1),BS74/$J75,0)</f>
        <v>#DIV/0!</v>
      </c>
      <c r="AJ74" s="150">
        <f ca="1">IF(AND($H76=0,$H79=0,$J76&gt;0,$J76&lt;500,$B79&lt;2,$F79=0),BJ74/$J76,0)</f>
        <v>0</v>
      </c>
      <c r="AK74" s="150">
        <f ca="1">IF(AND($H76=0,$H79=0,$J76&gt;0,$J76&lt;500,$B79&gt;1.999,$F79=0),BK74/$J76,0)</f>
        <v>0</v>
      </c>
      <c r="AL74" s="151">
        <f ca="1">IF(AND($H79&gt;0,$H76=25,$B79&lt;2,$J76&gt;0,$J76&lt;500,$F79=0),BV77/$J76,0)</f>
        <v>0</v>
      </c>
      <c r="AM74" s="151">
        <f ca="1">IF(AND($H79&gt;0,$H76=50,$B79&lt;2,$J76&gt;0,$J76&lt;500,$F79=0),BV77/$J76,0)</f>
        <v>0</v>
      </c>
      <c r="AN74" s="151">
        <f ca="1">IF(AND($H79&gt;0,$H76=100,$J76&gt;0,$J76&lt;500,$B79&lt;2,$F79=0),(BV77/$J76)+($BT$2*$B79),0)</f>
        <v>0</v>
      </c>
      <c r="AO74" s="152">
        <f ca="1">IF(AND($H79&gt;0,$H76=25,$J76&gt;0,$J76&lt;500,$B79&gt;1.999,$F79=0),BV77/$J76,0)</f>
        <v>0</v>
      </c>
      <c r="AP74" s="152">
        <f ca="1">IF(AND($H79&gt;0,$H76=50,$J76&gt;0,$J76&lt;500,$B79&gt;1.999,$F79=0),150/$J76,0)</f>
        <v>0</v>
      </c>
      <c r="AQ74" s="152">
        <f ca="1">IF(AND($H79&gt;0,$H76=100,$J76&gt;0,$J76&lt;500,$B79&gt;1.999,$F79=0),(BV77/$J76)+($BT$2*$B79),0)</f>
        <v>0</v>
      </c>
      <c r="AR74" s="165" t="e">
        <f ca="1">IF(AND($H76=0,$H79=0,$G79&lt;&gt;0,$J76&gt;0,$J76/$G79&lt;500,$J76/$G79&gt;0,$F79=1),BP74/$J76,0)</f>
        <v>#DIV/0!</v>
      </c>
      <c r="AS74" s="151" t="e">
        <f ca="1">IF(AND($H76&gt;0,$H79=1,$G79&lt;&gt;0,$J76&gt;0,$J76/$G79&lt;500,$J76/$G79&gt;0,$F79=1),BQ74/$J76,0)</f>
        <v>#DIV/0!</v>
      </c>
      <c r="AT74" s="152" t="e">
        <f ca="1">IF(AND($H76&gt;0,$H79=2,$G79&lt;&gt;0,$J76&gt;0,$J76/$G79&lt;500,$J76/$G79&gt;0,$F79=1),BR74/$J76,0)</f>
        <v>#DIV/0!</v>
      </c>
      <c r="AU74" s="172" t="e">
        <f ca="1">IF(AND($H76&gt;0,$H79=3,$G79&lt;&gt;0,$J76&gt;0,$J76/$G79&lt;500,$J76/$G79&gt;0,$F79=1),BS74/$J76,0)</f>
        <v>#DIV/0!</v>
      </c>
      <c r="AV74" s="150">
        <f ca="1">IF(AND($H76=0,$H79=0,$J77&gt;0,$J77&lt;500,$B79&lt;2,$F79=0),BJ74/$J77,0)</f>
        <v>0</v>
      </c>
      <c r="AW74" s="150">
        <f ca="1">IF(AND($H76=0,$H79=0,$J77&gt;0,$J77&lt;500,$B79&gt;1.999,$F79=0),BK74/$J77,0)</f>
        <v>0</v>
      </c>
      <c r="AX74" s="151">
        <f ca="1">IF(AND($H79&gt;0,$H76=25,$B79&lt;2,$J77&gt;0,$J77&lt;500,$F79=0),BV77/$J77,0)</f>
        <v>0</v>
      </c>
      <c r="AY74" s="151">
        <f ca="1">IF(AND($H79&gt;0,$H76=50,$B79&lt;2,$J77&gt;0,$J77&lt;500,$F79=0),150/$J77,0)</f>
        <v>0</v>
      </c>
      <c r="AZ74" s="151">
        <f ca="1">IF(AND($H79&gt;0,$H76=100,$B79&lt;2,$J77&gt;0,$J77&lt;500,$F79=0),(BV77/$J77)+($BT$2*$B79),0)</f>
        <v>0</v>
      </c>
      <c r="BA74" s="152">
        <f ca="1">IF(AND($H79&gt;0,$H76=25,$J77&gt;0,$J77&lt;500,$B79&gt;1.999,$F79=0),BV77/$J77,0)</f>
        <v>0</v>
      </c>
      <c r="BB74" s="152">
        <f ca="1">IF(AND($H79&gt;0,$H76=50,$J77&gt;0,$J77&lt;500,$B79&gt;1.999,$F79=0),150/$J77,0)</f>
        <v>0</v>
      </c>
      <c r="BC74" s="152">
        <f ca="1">IF(AND($H79&gt;0,$H76=100,$J77&gt;0,$J77&lt;500,$B79&gt;1.999,$F79=0),(BV77/$J77)+($BT$2*$B79),0)</f>
        <v>0</v>
      </c>
      <c r="BD74" s="165">
        <f ca="1">IFERROR(IF(AND($H76=0,$H79=0,$G79&lt;&gt;0,$J77&gt;0,$J77/$G79&lt;500,$J77/$G79&gt;0,$F79=1),BP74/$J77,0),0)</f>
        <v>0</v>
      </c>
      <c r="BE74" s="151">
        <f ca="1">IFERROR(IF(AND($H76&gt;0,$H79=1,$G79&lt;&gt;0,$J77&gt;0,$J77/$G79&lt;500,$J77/$G79&gt;0,$F79=1),BQ74/$J77,0),0)</f>
        <v>0</v>
      </c>
      <c r="BF74" s="152">
        <f ca="1">IFERROR(IF(AND($H76&gt;0,$H79=2,$G79&lt;&gt;0,$J77&gt;0,$J77/$G79&lt;500,$J77/$G79&gt;0,$F79=1),BR74/$J77,0),0)</f>
        <v>0</v>
      </c>
      <c r="BG74" s="172">
        <f ca="1">IFERROR(IF(AND($H76&gt;0,$H79=3,$G79&lt;&gt;0,$J77&gt;0,$J77/$G79&lt;500,$J77/$G79&gt;0,$F79=1),BS74/$J77,0),0)</f>
        <v>0</v>
      </c>
    </row>
    <row r="75" spans="1:61" ht="13.2">
      <c r="A75" s="260"/>
      <c r="B75" s="274"/>
      <c r="C75" s="174">
        <f>Kalk!C40</f>
        <v>0</v>
      </c>
      <c r="D75" s="174">
        <f>Kalk!E40</f>
        <v>0</v>
      </c>
      <c r="E75" s="147">
        <f>Kalk!G40</f>
        <v>0</v>
      </c>
      <c r="F75" s="147">
        <f ca="1">IF(KLEJENIE!E79=1,Kalk!H40,Kalk!I40)</f>
        <v>47</v>
      </c>
      <c r="G75" s="147">
        <f ca="1">Kalk!I42</f>
        <v>8</v>
      </c>
      <c r="H75" s="269"/>
      <c r="I75" s="269"/>
      <c r="J75" s="88">
        <f ca="1">IF(KLEJENIE!E$79=1,Kalk!AH40*2,Kalk!AH40)</f>
        <v>0</v>
      </c>
      <c r="K75" s="150">
        <f ca="1">IF(AND($C79=1,$J75&gt;0),IF($H76=100, SUM(X79:AI79)+($BT$2*$B79), SUM(X79:AI79)),IF(AND($B76=1,$J75&gt;0),SUM(X79:AI79) + IF(AND($H79&gt;1,$F79=0), $H79*0.05-0.05, 0),0))</f>
        <v>0</v>
      </c>
      <c r="L75" s="150">
        <f ca="1">IF(AND($H76=0,$H79=0,$B79&lt;2,$J74&gt;499,$J74&lt;1000,$F79=0),$BJ$3,0)</f>
        <v>0</v>
      </c>
      <c r="M75" s="150">
        <f ca="1">IF(AND($H76=0,$H79=0,$B79&gt;1.999,$J74&gt;499,$J74&lt;1000,$F79=0),$BK$3,0)</f>
        <v>0</v>
      </c>
      <c r="N75" s="151">
        <f ca="1">IF(AND($H76=25,$H79&gt;0,$B79&lt;2,$J74&gt;499,$J74&lt;1000,$F79=0),$BL$3,0)</f>
        <v>0</v>
      </c>
      <c r="O75" s="151">
        <f ca="1">IF(AND($H76=50,$H79&gt;0,$B79&lt;2,$J74&gt;499,$J74&lt;1000,$F79=0),$BM$3,0)</f>
        <v>0</v>
      </c>
      <c r="P75" s="151">
        <f ca="1">IF(AND($H76=100,$H79&gt;0,$J74&gt;499,$J74&lt;1000,$B79&lt;2,$F79=0),$BM$3+($BT$2*$B79),0)</f>
        <v>0</v>
      </c>
      <c r="Q75" s="152">
        <f ca="1">IF(AND($H76=25,$H79&gt;0,$B79&gt;1.999,$J74&gt;499,$J74&lt;1000,$F79=0),$BN$3,0)</f>
        <v>0</v>
      </c>
      <c r="R75" s="152">
        <f ca="1">IF(AND($H76=50,$H79&gt;0,$J74&gt;499,$J74&lt;1000,$B79&gt;1.999,$F79=0),$BO$3,0)</f>
        <v>0</v>
      </c>
      <c r="S75" s="152">
        <f ca="1">IF(AND($H76=100,$H79&gt;0,$J74&gt;499,$J74&lt;1000,$B79&gt;1.999,$F79=0),$BO$3+($BT$2*$B79),0)</f>
        <v>0</v>
      </c>
      <c r="T75" s="165">
        <f ca="1">IFERROR(IF(AND($H76=0,$H79=0,$J74/$G79&lt;1000,$J74/$G79&gt;499,$F79=1),$BP$3/$G79,0),0)</f>
        <v>0</v>
      </c>
      <c r="U75" s="151">
        <f ca="1">IFERROR(IF(AND($H76&gt;0,$H79=1,$J74/$G79&lt;1000,$J74/$G79&gt;499,$F79=1),$BQ$3/$G79,0),0)</f>
        <v>0</v>
      </c>
      <c r="V75" s="152">
        <f ca="1">IFERROR(IF(AND($H76&gt;0,$H79=2,$J74/$G79&lt;1000,$J74/$G79&gt;499,$F79=1),$BR$3/$G79,0),0)</f>
        <v>0</v>
      </c>
      <c r="W75" s="172">
        <f ca="1">IFERROR(IF(AND($H76&gt;0,$H79=3,$J74/$G79&lt;1000,$J74/$G79&gt;499,$F79=1),$BS$3/$G79,0),0)</f>
        <v>0</v>
      </c>
      <c r="X75" s="150">
        <f ca="1">IF(AND($H76=0,$H79=0,$B79&lt;2,$J75&gt;499,$J75&lt;1000,$F79=0),$BJ$3,0)</f>
        <v>0</v>
      </c>
      <c r="Y75" s="150">
        <f ca="1">IF(AND($H76=0,$H79=0,$B79&gt;1.999,$J75&gt;499,$J75&lt;1000,$F79=0),$BK$3,0)</f>
        <v>0</v>
      </c>
      <c r="Z75" s="151">
        <f ca="1">IF(AND($H76=25,$H79&gt;0,$B79&lt;2,$J75&gt;499,$J75&lt;1000,$F79=0),$BL$3,0)</f>
        <v>0</v>
      </c>
      <c r="AA75" s="151">
        <f ca="1">IF(AND($H76=50,$H79&gt;0,$B79&lt;2,$J75&gt;499,$J75&lt;1000,$F79=0),$BM$3,0)</f>
        <v>0</v>
      </c>
      <c r="AB75" s="151">
        <f ca="1">IF(AND($H76=100,$H79&gt;0,$J75&gt;499,$J75&lt;1000,$B79&lt;2,$F79=0),$BM$3+($BT$2*$B79),0)</f>
        <v>0</v>
      </c>
      <c r="AC75" s="152">
        <f ca="1">IF(AND($H76=25,$H79&gt;0,$B79&gt;1.999,$J75&gt;499,$J75&lt;1000,$F79=0),$BN$3,0)</f>
        <v>0</v>
      </c>
      <c r="AD75" s="152">
        <f ca="1">IF(AND($H76=50,$H79&gt;0,$J75&gt;499,$J75&lt;1000,$B79&gt;1.999,$F79=0),$BO$3,0)</f>
        <v>0</v>
      </c>
      <c r="AE75" s="152">
        <f ca="1">IF(AND($H76=50,$H79&gt;0,$B79&lt;2,$J75&gt;499,$J75&lt;1000,$F79=0),$BM$3,0)</f>
        <v>0</v>
      </c>
      <c r="AF75" s="165">
        <f ca="1">IF(AND($H76=100,$H79&gt;0,$J75&gt;499,$J75&lt;1000,$B79&lt;2,$F79=0),$BM$3+($BT$2*$B79),0)</f>
        <v>0</v>
      </c>
      <c r="AG75" s="151">
        <f ca="1">IF(AND($H76=25,$H79&gt;0,$B79&gt;1.999,$J75&gt;499,$J75&lt;1000,$F79=0),$BN$3,0)</f>
        <v>0</v>
      </c>
      <c r="AH75" s="152">
        <f ca="1">IF(AND($H76=50,$H79&gt;0,$J75&gt;499,$J75&lt;1000,$B79&gt;1.999,$F79=0),$BO$3,0)</f>
        <v>0</v>
      </c>
      <c r="AI75" s="172" t="e">
        <f ca="1">IF(AND($H76&gt;0,$H79=3,$G79&lt;&gt;0,$J75/$G79&gt;499,$J75/$G79&lt;1000,$F79=1),$BS$3/$G79,0)</f>
        <v>#DIV/0!</v>
      </c>
      <c r="AJ75" s="150">
        <f ca="1">IF(AND($H76=0,$H79=0,$B79&lt;2,$J76&gt;499,$J76&lt;1000,$F79=0),$BJ$3,0)</f>
        <v>0</v>
      </c>
      <c r="AK75" s="150">
        <f ca="1">IF(AND($H76=0,$H79=0,$B79&gt;1.999,$J76&gt;499,$J76&lt;1000,$F79=0),$BK$3,0)</f>
        <v>0</v>
      </c>
      <c r="AL75" s="151">
        <f ca="1">IF(AND($H76=25,$H79&gt;0,$B79&lt;2,$J76&gt;499,$J76&lt;1000,$F79=0),$BL$3,0)</f>
        <v>0</v>
      </c>
      <c r="AM75" s="151">
        <f ca="1">IF(AND($H76=50,$H79&gt;0,$B79&lt;2,$J76&gt;499,$J76&lt;1000,$F79=0),$BM$3,0)</f>
        <v>0</v>
      </c>
      <c r="AN75" s="151">
        <f ca="1">IF(AND($H76=100,$H79&gt;0,$J76&gt;499,$J76&lt;1000,$B79&lt;2,$F79=0),$BM$3+($BT$2*$B79),0)</f>
        <v>0</v>
      </c>
      <c r="AO75" s="152">
        <f ca="1">IF(AND($H76=25,$H79&gt;0,$B79&gt;1.999,$J76&gt;499,$J76&lt;1000,$F79=0),$BN$3,0)</f>
        <v>0</v>
      </c>
      <c r="AP75" s="152">
        <f ca="1">IF(AND($H76=50,$H79&gt;0,$J76&gt;499,$J76&lt;1000,$B79&gt;1.999,$F79=0),$BO$3,0)</f>
        <v>0</v>
      </c>
      <c r="AQ75" s="152">
        <f ca="1">IF(AND($H76=100,$H79&gt;0,$J76&gt;499,$J76&lt;1000,$B79&gt;1.999,$F79=0),$BO$3+($BT$2*$B79),0)</f>
        <v>0</v>
      </c>
      <c r="AR75" s="165" t="e">
        <f ca="1">IF(AND($H76=0,$H79=0,$G79&lt;&gt;0,$J76/$G79&lt;1000,$J76/$G79&gt;499,$F79=1),$BP$3/$G79,0)</f>
        <v>#DIV/0!</v>
      </c>
      <c r="AS75" s="151" t="e">
        <f ca="1">IF(AND($H76&gt;0,$H79=1,$G79&lt;&gt;0,$J76/$G79&lt;1000,$J76/$G79&gt;499,$F79=1),$BQ$3/$G79,0)</f>
        <v>#DIV/0!</v>
      </c>
      <c r="AT75" s="152" t="e">
        <f ca="1">IF(AND($H76&gt;0,$H79=2,$G79&lt;&gt;0,$J76/$G79&lt;1000,$J76/$G79&gt;499,$F79=1),$BR$3/$G79,0)</f>
        <v>#DIV/0!</v>
      </c>
      <c r="AU75" s="172" t="e">
        <f ca="1">IF(AND($H76&gt;0,$H79=3,$G79&lt;&gt;0,$J76/$G79&lt;1000,$J76/$G79&gt;499,$F79=1),$BS$3/$G79,0)</f>
        <v>#DIV/0!</v>
      </c>
      <c r="AV75" s="150">
        <f ca="1">IF(AND($H76=0,$H79=0,$B79&lt;2,$J77&gt;499,$J77&lt;1000,$F79=0),$BJ$3,0)</f>
        <v>0</v>
      </c>
      <c r="AW75" s="150">
        <f ca="1">IF(AND($H76=0,$H79=0,$B79&gt;1.999,$J77&gt;499,$J77&lt;1000,$F79=0),$BK$3,0)</f>
        <v>0</v>
      </c>
      <c r="AX75" s="151">
        <f ca="1">IF(AND($H76=25,$H79&gt;0,$B79&lt;2,$J77&gt;499,$J77&lt;1000,$F79=0),$BL$3,0)</f>
        <v>0</v>
      </c>
      <c r="AY75" s="151">
        <f ca="1">IF(AND($H76=50,$H79&gt;0,$B79&lt;2,$J77&gt;499,$J77&lt;1000,$F79=0),$BM$3,0)</f>
        <v>0</v>
      </c>
      <c r="AZ75" s="151">
        <f ca="1">IF(AND($H76=100,$H79&gt;0,$B79&lt;2,$J77&gt;499,$J77&lt;1000,$F79=0),$BM$3+($BT$2*$B79),0)</f>
        <v>0</v>
      </c>
      <c r="BA75" s="152">
        <f ca="1">IF(AND($H76=25,$H79&gt;0,$B79&gt;1.999,$J77&gt;499,$J77&lt;1000,$F79=0),$BN$3,0)</f>
        <v>0</v>
      </c>
      <c r="BB75" s="152">
        <f ca="1">IF(AND($H76=50,$H79&gt;0,$J77&gt;499,$J77&lt;1000,$B79&gt;1.999,$F79=0),$BO$3,0)</f>
        <v>0</v>
      </c>
      <c r="BC75" s="152">
        <f ca="1">IF(AND($H76=100,$H79&gt;0,$J77&gt;499,$J77&lt;1000,$B79&gt;1.999,$F79=0),$BO$3+($BT$2*$B79),0)</f>
        <v>0</v>
      </c>
      <c r="BD75" s="165">
        <f ca="1">IFERROR(IF(AND($H76=0,$H79=0,$G79&lt;&gt;0,$J77/$G79&lt;1000,$J77/$G79&gt;499,$F79=1),$BP$3/$G79,0),0)</f>
        <v>0</v>
      </c>
      <c r="BE75" s="151">
        <f ca="1">IFERROR(IF(AND($H76&gt;0,$H79=1,$G79&lt;&gt;0,$J77/$G79&lt;1000,$J77/$G79&gt;499,$F79=1),$BQ$3/$G79,0),0)</f>
        <v>0</v>
      </c>
      <c r="BF75" s="152">
        <f ca="1">IFERROR(IF(AND($H76&gt;0,$H79=2,$G79&lt;&gt;0,$J77/$G79&lt;1000,$J77/$G79&gt;499,$F79=1),$BR$3/$G79,0),0)</f>
        <v>0</v>
      </c>
      <c r="BG75" s="172">
        <f ca="1">IFERROR(IF(AND($H76&gt;0,$H79=3,$G79&lt;&gt;0,$J77/$G79&lt;1000,$J77/$G79&gt;499,$F79=1),$BS$3/$G79,0),0)</f>
        <v>0</v>
      </c>
    </row>
    <row r="76" spans="1:61" ht="13.2">
      <c r="A76" s="260"/>
      <c r="B76" s="153">
        <f ca="1">IF(SUM(C76:G76)+I76=6,1,0)</f>
        <v>0</v>
      </c>
      <c r="C76" s="88">
        <f ca="1">IF(KLEJENIE!E79=1,1,IF(AND(C75&gt;267,C75&lt;2251),1,0))</f>
        <v>0</v>
      </c>
      <c r="D76" s="88">
        <f>IF((D75&gt;=50)*AND(D75&lt;1001),1,0)</f>
        <v>0</v>
      </c>
      <c r="E76" s="88">
        <f>IF((E75&gt;49)*AND(E75&lt;1401),1,0)</f>
        <v>0</v>
      </c>
      <c r="F76" s="88">
        <f ca="1">IF((F75&gt;599)*AND(F75&lt;2856),1,0)</f>
        <v>0</v>
      </c>
      <c r="G76" s="88" cm="1">
        <f t="array" aca="1" ref="G76" ca="1">IF(AND(G75&gt;399, IF(C79=1, G75&lt;1581, INDIRECT("'"&amp;Kalk!B40&amp;"'!L3")=1)),1,0)</f>
        <v>0</v>
      </c>
      <c r="H76" s="154">
        <f>Kalk!M75</f>
        <v>0</v>
      </c>
      <c r="I76" s="154">
        <f ca="1">IF(E75+((G75-E75)/2)&lt;1590,1,0)</f>
        <v>1</v>
      </c>
      <c r="J76" s="88">
        <f ca="1">IF(KLEJENIE!E$79=1,Kalk!AH41*2,Kalk!AH41)</f>
        <v>0</v>
      </c>
      <c r="K76" s="150">
        <f ca="1">IF(AND($C79=1,$J76&gt;0),IF($H76=100, SUM(AJ79:AU79)+($BT$2*$B79), SUM(AJ79:AU79)),IF(AND($B76=1,$J76&gt;0),SUM(AJ79:AU79) + IF(AND($H79&gt;1,$F79=0), $H79*0.05-0.05, 0),0))</f>
        <v>0</v>
      </c>
      <c r="L76" s="150">
        <f ca="1">IF(AND($H76=0,$H79=0,$B79&lt;2,$J74&gt;999,$J74&lt;3000,$F79=0),$BJ$4,0)</f>
        <v>0</v>
      </c>
      <c r="M76" s="150">
        <f ca="1">IF(AND($H76=0,$H79=0,$B79&gt;1.999,$J74&gt;999,$J74&lt;3000,$F79=0),$BK$4,0)</f>
        <v>0</v>
      </c>
      <c r="N76" s="151">
        <f ca="1">IF(AND($H76=25,$H79&gt;0,$B79&lt;2,$J74&gt;999,$J74&lt;3000,$F79=0),$BL$4,0)</f>
        <v>0</v>
      </c>
      <c r="O76" s="151">
        <f ca="1">IF(AND($H76=50,$H79&gt;0,$B79&lt;2,$J74&gt;999,$J74&lt;3000,$F79=0),$BM$4,0)</f>
        <v>0</v>
      </c>
      <c r="P76" s="151">
        <f ca="1">IF(AND($H76=100,$H79&gt;0,$B79&lt;2,$J74&gt;999,$J74&lt;3000,$F79=0),$BM$4+($BT$2*$B79),0)</f>
        <v>0</v>
      </c>
      <c r="Q76" s="152">
        <f ca="1">IF(AND($H76=25,$H79&gt;0,$B79&gt;1.999,$J74&gt;999,$J74&lt;3000,$F79=0),$BN$4,0)</f>
        <v>0</v>
      </c>
      <c r="R76" s="152">
        <f ca="1">IF(AND($H76=50,$H79&gt;0,$B79&gt;1.999,$J74&gt;999,$J74&lt;3000,$F79=0),$BO$4,0)</f>
        <v>0</v>
      </c>
      <c r="S76" s="152">
        <f ca="1">IF(AND($H76=100,$H79&gt;0,$J74&gt;999,$J74&lt;3000,$B79&gt;1.999,$F79=0),$BO$4+($BT$2*$B79),0)</f>
        <v>0</v>
      </c>
      <c r="T76" s="165">
        <f ca="1">IFERROR(IF(AND($H76=0,$H79=0,$J74/$G79&lt;3000,$J74/$G79&gt;999,$F79=1),$BP$4/$G79,0),0)</f>
        <v>0</v>
      </c>
      <c r="U76" s="151">
        <f ca="1">IFERROR(IF(AND($H76&gt;0,$H79=1,$J74/$G79&lt;3000,$J74/$G79&gt;999,$F79=1),$BQ$4/$G79,0),0)</f>
        <v>0</v>
      </c>
      <c r="V76" s="152">
        <f ca="1">IFERROR(IF(AND($H76&gt;0,$H79=2,$J74/$G79&lt;3000,$J74/$G79&gt;999,$F79=1),$BR$4/$G79,0),0)</f>
        <v>0</v>
      </c>
      <c r="W76" s="172">
        <f ca="1">IFERROR(IF(AND($H76&gt;0,$H79=3,$J74/$G79&lt;3000,$J74/$G79&gt;999,$F79=1),$BS$4/$G79,0),0)</f>
        <v>0</v>
      </c>
      <c r="X76" s="150">
        <f ca="1">IF(AND($H76=0,$H79=0,$B79&lt;2,$J75&gt;999,$J75&lt;3000,$F79=0),$BJ$4,0)</f>
        <v>0</v>
      </c>
      <c r="Y76" s="150">
        <f ca="1">IF(AND($H76=0,$H79=0,$B79&gt;1.999,$J75&gt;999,$J75&lt;3000,$F79=0),$BK$4,0)</f>
        <v>0</v>
      </c>
      <c r="Z76" s="151">
        <f ca="1">IF(AND($H76=25,$H79&gt;0,$B79&lt;2,$J75&gt;999,$J75&lt;3000,$F79=0),$BL$4,0)</f>
        <v>0</v>
      </c>
      <c r="AA76" s="151">
        <f ca="1">IF(AND($H76=50,$H79&gt;0,$B79&lt;2,$J75&gt;999,$J75&lt;3000,$F79=0),$BM$4,0)</f>
        <v>0</v>
      </c>
      <c r="AB76" s="151">
        <f ca="1">IF(AND($H76=100,$H79&gt;0,$B79&lt;2,$J75&gt;999,$J75&lt;3000,$F79=0),$BM$4+($BT$2*$B79),0)</f>
        <v>0</v>
      </c>
      <c r="AC76" s="152">
        <f ca="1">IF(AND($H76=25,$H79&gt;0,$B79&gt;1.999,$J75&gt;999,$J75&lt;3000,$F79=0),$BN$4,0)</f>
        <v>0</v>
      </c>
      <c r="AD76" s="152">
        <f ca="1">IF(AND($H76=50,$H79&gt;0,$B79&gt;1.999,$J75&gt;999,$J75&lt;3000,$F79=0),$BO$4,0)</f>
        <v>0</v>
      </c>
      <c r="AE76" s="152">
        <f ca="1">IF(AND($H76=50,$H79&gt;0,$B79&lt;2,$J75&gt;999,$J75&lt;3000,$F79=0),$BM$4,0)</f>
        <v>0</v>
      </c>
      <c r="AF76" s="165">
        <f ca="1">IF(AND($H76=100,$H79&gt;0,$B79&lt;2,$J75&gt;999,$J75&lt;3000,$F79=0),$BM$4+($BT$2*$B79),0)</f>
        <v>0</v>
      </c>
      <c r="AG76" s="151">
        <f ca="1">IF(AND($H76=25,$H79&gt;0,$B79&gt;1.999,$J75&gt;999,$J75&lt;3000,$F79=0),$BN$4,0)</f>
        <v>0</v>
      </c>
      <c r="AH76" s="152">
        <f ca="1">IF(AND($H76=50,$H79&gt;0,$B79&gt;1.999,$J75&gt;999,$J75&lt;3000,$F79=0),$BO$4,0)</f>
        <v>0</v>
      </c>
      <c r="AI76" s="172" t="e">
        <f ca="1">IF(AND($H76&gt;0,$H79=3,$G79&lt;&gt;0,$J75/$G79&gt;999,$J75/$G79&lt;3000,$F79=1),$BS$4/$G79,0)</f>
        <v>#DIV/0!</v>
      </c>
      <c r="AJ76" s="150">
        <f ca="1">IF(AND($H76=0,$H79=0,$B79&lt;2,$J76&gt;999,$J76&lt;3000,$F79=0),$BJ$4,0)</f>
        <v>0</v>
      </c>
      <c r="AK76" s="150">
        <f ca="1">IF(AND($H76=0,$H79=0,$B79&gt;1.999,$J76&gt;999,$J76&lt;3000,$F79=0),$BK$4,0)</f>
        <v>0</v>
      </c>
      <c r="AL76" s="151">
        <f ca="1">IF(AND($H76=25,$H79&gt;0,$B79&lt;2,$J76&gt;999,$J76&lt;3000,$F79=0),$BL$4,0)</f>
        <v>0</v>
      </c>
      <c r="AM76" s="151">
        <f ca="1">IF(AND($H76=50,$H79&gt;0,$B79&lt;2,$J76&gt;999,$J76&lt;3000,$F79=0),$BM$4,0)</f>
        <v>0</v>
      </c>
      <c r="AN76" s="151">
        <f ca="1">IF(AND($H76=100,$H79&gt;0,$B79&lt;2,$J76&gt;999,$J76&lt;3000,$F79=0),$BM$4+($BT$2*$B79),0)</f>
        <v>0</v>
      </c>
      <c r="AO76" s="152">
        <f ca="1">IF(AND($H76=25,$H79&gt;0,$B79&gt;1.999,$J76&gt;999,$J76&lt;3000,$F79=0),$BN$4,0)</f>
        <v>0</v>
      </c>
      <c r="AP76" s="152">
        <f ca="1">IF(AND($H76=50,$H79&gt;0,$B79&gt;1.999,$J76&gt;999,$J76&lt;3000,$F79=0),$BO$4,0)</f>
        <v>0</v>
      </c>
      <c r="AQ76" s="152">
        <f ca="1">IF(AND($H76=100,$H79&gt;0,$J76&gt;999,$J76&lt;3000,$B79&gt;1.999,$F79=0),$BO$4+($BT$2*$B79),0)</f>
        <v>0</v>
      </c>
      <c r="AR76" s="165" t="e">
        <f ca="1">IF(AND($H76=0,$H79=0,$G79&lt;&gt;0,$J76/$G79&lt;3000,$J76/$G79&gt;999,$F79=1),$BP$4/$G79,0)</f>
        <v>#DIV/0!</v>
      </c>
      <c r="AS76" s="151" t="e">
        <f ca="1">IF(AND($H76&gt;0,$H79=1,$G79&lt;&gt;0,$J76/$G79&lt;3000,$J76/$G79&gt;999,$F79=1),$BQ$4/$G79,0)</f>
        <v>#DIV/0!</v>
      </c>
      <c r="AT76" s="152" t="e">
        <f ca="1">IF(AND($H76&gt;0,$H79=2,$G79&lt;&gt;0,$J76/$G79&lt;3000,$J76/$G79&gt;999,$F79=1),$BR$4/$G79,0)</f>
        <v>#DIV/0!</v>
      </c>
      <c r="AU76" s="172" t="e">
        <f ca="1">IF(AND($H76&gt;0,$H79=3,$G79&lt;&gt;0,$J76/$G79&lt;3000,$J76/$G79&gt;999,$F79=1),$BS$4/$G79,0)</f>
        <v>#DIV/0!</v>
      </c>
      <c r="AV76" s="150">
        <f ca="1">IF(AND($H76=0,$H79=0,$B79&lt;2,$J77&gt;999,$J77&lt;3000,$F79=0),$BJ$4,0)</f>
        <v>0</v>
      </c>
      <c r="AW76" s="150">
        <f ca="1">IF(AND($H76=0,$H79=0,$B79&gt;1.999,$J77&gt;999,$J77&lt;3000,$F79=0),$BK$4,0)</f>
        <v>0</v>
      </c>
      <c r="AX76" s="151">
        <f ca="1">IF(AND($H76=25,$H79&gt;0,$B79&lt;2,$J77&gt;999,$J77&lt;3000,$F79=0),$BL$4,0)</f>
        <v>0</v>
      </c>
      <c r="AY76" s="151">
        <f ca="1">IF(AND($H76=50,$H79&gt;0,$B79&lt;2,$J77&gt;999,$J77&lt;3000,$F79=0),$BM$4,0)</f>
        <v>0</v>
      </c>
      <c r="AZ76" s="151">
        <f ca="1">IF(AND($H76=100,$H79&gt;0,$B79&lt;2,$J77&gt;999,$J77&lt;3000,$F79=0),$BM$4+($BT$2*$B79),0)</f>
        <v>0</v>
      </c>
      <c r="BA76" s="152">
        <f ca="1">IF(AND($H76=25,$H79&gt;0,$B79&gt;1.999,$J77&gt;999,$J77&lt;3000,$F79=0),$BN$4,0)</f>
        <v>0</v>
      </c>
      <c r="BB76" s="152">
        <f ca="1">IF(AND($H76=50,$H79&gt;0,$B79&gt;1.999,$J77&gt;999,$J77&lt;3000,$F79=0),$BO$4,0)</f>
        <v>0</v>
      </c>
      <c r="BC76" s="152">
        <f ca="1">IF(AND($H76=100,$H79&gt;0,$J77&gt;999,$J77&lt;3000,$B79&gt;1.999,$F79=0),$BO$4+($BT$2*$B79),0)</f>
        <v>0</v>
      </c>
      <c r="BD76" s="165">
        <f ca="1">IFERROR(IF(AND($H76=0,$H79=0,$G79&lt;&gt;0,$J77/$G79&lt;3000,$J77/$G79&gt;999,$F79=1),$BP$4/$G79,0),0)</f>
        <v>0</v>
      </c>
      <c r="BE76" s="151">
        <f ca="1">IFERROR(IF(AND($H76&gt;0,$H79=1,$G79&lt;&gt;0,$J77/$G79&lt;3000,$J77/$G79&gt;999,$F79=1),$BQ$4/$G79,0),0)</f>
        <v>0</v>
      </c>
      <c r="BF76" s="152">
        <f ca="1">IFERROR(IF(AND($H76&gt;0,$H79=2,$G79&lt;&gt;0,$J77/$G79&lt;3000,$J77/$G79&gt;999,$F79=1),$BR$4/$G79,0),0)</f>
        <v>0</v>
      </c>
      <c r="BG76" s="172">
        <f ca="1">IFERROR(IF(AND($H76&gt;0,$H79=3,$G79&lt;&gt;0,$J77/$G79&lt;3000,$J77/$G79&gt;999,$F79=1),$BS$4/$G79,0),0)</f>
        <v>0</v>
      </c>
    </row>
    <row r="77" spans="1:61" ht="23.85" customHeight="1">
      <c r="A77" s="260"/>
      <c r="B77" s="275" t="s">
        <v>968</v>
      </c>
      <c r="C77" s="274" t="s">
        <v>986</v>
      </c>
      <c r="D77" s="268" t="s">
        <v>987</v>
      </c>
      <c r="E77" s="268"/>
      <c r="F77" s="275" t="s">
        <v>988</v>
      </c>
      <c r="G77" s="149" t="s">
        <v>989</v>
      </c>
      <c r="H77" s="269" t="s">
        <v>971</v>
      </c>
      <c r="I77" s="149"/>
      <c r="J77" s="88">
        <f ca="1">IF(KLEJENIE!E$79=1,Kalk!AH42*2,Kalk!AH42)</f>
        <v>0</v>
      </c>
      <c r="K77" s="150">
        <f ca="1">IF(AND($C79=1,$J77&gt;0),IF($H76=100, SUM(AV79:BG79)+($BT$2*$B79), SUM(AV79:BG79)),IF(AND($B76=1,$J77&gt;0),SUM(AV79:BG79) + IF(AND($H79&gt;1,$F79=0), $H79*0.05-0.05, 0),0))</f>
        <v>0</v>
      </c>
      <c r="L77" s="150">
        <f ca="1">IF(AND($H76=0,$H79=0,$B79&lt;2,$J74&gt;2999,$F79=0),$BJ$5,0)</f>
        <v>0</v>
      </c>
      <c r="M77" s="150">
        <f ca="1">IF(AND($H76=0,$H79=0,$B79&gt;1.999,$J74&gt;2999,$F79=0),$BK$5,0)</f>
        <v>0</v>
      </c>
      <c r="N77" s="151">
        <f ca="1">IF(AND($H76=25,$H79&gt;0,$B79&lt;2,$J74&gt;2999,$F79=0),$BL$5,0)</f>
        <v>0</v>
      </c>
      <c r="O77" s="151">
        <f ca="1">IF(AND($H76=50,$H79&gt;0,$B79&lt;2,$J74&gt;2999,$F79=0),$BM$5,0)</f>
        <v>0</v>
      </c>
      <c r="P77" s="151">
        <f ca="1">IF(AND($H76=100,$H79&gt;0,$J74&gt;2999,$B79&lt;2,$F79=0),$BM$5+($BT$2*$B79),0)</f>
        <v>0</v>
      </c>
      <c r="Q77" s="152">
        <f ca="1">IF(AND($H76=25,$H79&gt;0,$B79&gt;1.999,$J74&gt;2999,$F79=0),$BN$5,0)</f>
        <v>0</v>
      </c>
      <c r="R77" s="152">
        <f ca="1">IF(AND($H76=50,$H79&gt;0,$B79&gt;1.999,$J74&gt;2999,$F79=0),$BO$5,0)</f>
        <v>0</v>
      </c>
      <c r="S77" s="152">
        <f ca="1">IF(AND($H76=100,$H79&gt;0,$J74&gt;2999,$B79&gt;1.999,$F79=0),$BO$5+($BT$2*$B79),0)</f>
        <v>0</v>
      </c>
      <c r="T77" s="165">
        <f ca="1">IFERROR(IF(AND($H76=0,$H79=0,$J74/$G79&gt;2999,$F79=1),$BP$5/$G79,0),0)</f>
        <v>0</v>
      </c>
      <c r="U77" s="151">
        <f ca="1">IFERROR(IF(AND($H76&gt;0,$H79=1,$J74/$G79&gt;2999,$F79=1),$BQ$5/$G79,0),0)</f>
        <v>0</v>
      </c>
      <c r="V77" s="152">
        <f ca="1">IFERROR(IF(AND($H76&gt;0,$H79=2,$J74/$G79&gt;2999,$F79=1),$BR$5/$G79,0),0)</f>
        <v>0</v>
      </c>
      <c r="W77" s="172">
        <f ca="1">IFERROR(IF(AND($H76&gt;0,$H79=3,$J74/$G79&gt;2999,$F79=1),$BS$5/$G79,0),0)</f>
        <v>0</v>
      </c>
      <c r="X77" s="150">
        <f ca="1">IF(AND($H76=0,$H79=0,$B79&lt;2,$J75&gt;2999,$F79=0),$BJ$5,0)</f>
        <v>0</v>
      </c>
      <c r="Y77" s="150">
        <f ca="1">IF(AND($H76=0,$H79=0,$B79&gt;1.999,$J75&gt;2999,$F79=0),$BK$5,0)</f>
        <v>0</v>
      </c>
      <c r="Z77" s="151">
        <f ca="1">IF(AND($H76=25,$H79&gt;0,$B79&lt;2,$J75&gt;2999,$F79=0),$BL$5,0)</f>
        <v>0</v>
      </c>
      <c r="AA77" s="151">
        <f ca="1">IF(AND($H76=50,$H79&gt;0,$B79&lt;2,$J75&gt;2999,$F79=0),$BM$5,0)</f>
        <v>0</v>
      </c>
      <c r="AB77" s="151">
        <f ca="1">IF(AND($H76=100,$H79&gt;0,$J75&gt;2999,$B79&lt;2,$F79=0),$BM$5+($BT$2*$B79),0)</f>
        <v>0</v>
      </c>
      <c r="AC77" s="152">
        <f ca="1">IF(AND($H76=25,$H79&gt;0,$B79&gt;1.999,$J75&gt;2999,$F79=0),$BN$5,0)</f>
        <v>0</v>
      </c>
      <c r="AD77" s="152">
        <f ca="1">IF(AND($H76=50,$H79&gt;0,$B79&gt;1.999,$J75&gt;2999,$F79=0),$BO$5,0)</f>
        <v>0</v>
      </c>
      <c r="AE77" s="152">
        <f ca="1">IF(AND($H76=50,$H79&gt;0,$B79&lt;2,$J75&gt;2999,$F79=0),$BM$5,0)</f>
        <v>0</v>
      </c>
      <c r="AF77" s="165">
        <f ca="1">IF(AND($H76=100,$H79&gt;0,$J75&gt;2999,$B79&lt;2,$F79=0),$BM$5+($BT$2*$B79),0)</f>
        <v>0</v>
      </c>
      <c r="AG77" s="151">
        <f ca="1">IF(AND($H76=25,$H79&gt;0,$B79&gt;1.999,$J75&gt;2999,$F79=0),$BN$5,0)</f>
        <v>0</v>
      </c>
      <c r="AH77" s="152">
        <f ca="1">IF(AND($H76=50,$H79&gt;0,$B79&gt;1.999,$J75&gt;2999,$F79=0),$BO$5,0)</f>
        <v>0</v>
      </c>
      <c r="AI77" s="172" t="e">
        <f ca="1">IF(AND($H76&gt;0,$H79=3,$G79&lt;&gt;0,$J75/$G79&gt;2999,$F79=1),$BS$5/$G79,0)</f>
        <v>#DIV/0!</v>
      </c>
      <c r="AJ77" s="150">
        <f ca="1">IF(AND($H76=0,$H79=0,$B79&lt;2,$J76&gt;2999,$F79=0),$BJ$5,0)</f>
        <v>0</v>
      </c>
      <c r="AK77" s="150">
        <f ca="1">IF(AND($H76=0,$H79=0,$B79&gt;1.999,$J76&gt;2999,$F79=0),$BK$5,0)</f>
        <v>0</v>
      </c>
      <c r="AL77" s="151">
        <f ca="1">IF(AND($H76=25,$H79&gt;0,$B79&lt;2,$J76&gt;2999,$F79=0),$BL$5,0)</f>
        <v>0</v>
      </c>
      <c r="AM77" s="151">
        <f ca="1">IF(AND($H76=50,$H79&gt;0,$B79&lt;2,$J76&gt;2999,$F79=0),$BM$5,0)</f>
        <v>0</v>
      </c>
      <c r="AN77" s="151">
        <f ca="1">IF(AND($H76=100,$H79&gt;0,$J76&gt;2999,$B79&lt;2,$F79=0),$BM$5+($BT$2*$B79),0)</f>
        <v>0</v>
      </c>
      <c r="AO77" s="152">
        <f ca="1">IF(AND($H76=25,$H79&gt;0,$B79&gt;1.999,$J76&gt;2999,$F79=0),$BN$5,0)</f>
        <v>0</v>
      </c>
      <c r="AP77" s="152">
        <f ca="1">IF(AND($H76=50,$H79&gt;0,$B79&gt;1.999,$J76&gt;2999,$F79=0),$BO$5,0)</f>
        <v>0</v>
      </c>
      <c r="AQ77" s="152">
        <f ca="1">IF(AND($H76=100,$H79&gt;0,$J76&gt;2999,$B79&gt;1.999,$F79=0),$BO$5+($BT$2*$B79),0)</f>
        <v>0</v>
      </c>
      <c r="AR77" s="165" t="e">
        <f ca="1">IF(AND($H76=0,$H79=0,$G79&lt;&gt;0,$J76/$G79&gt;2999,$F79=1),$BP$5/$G79,0)</f>
        <v>#DIV/0!</v>
      </c>
      <c r="AS77" s="151" t="e">
        <f ca="1">IF(AND($H76&gt;0,$H79=1,$G79&lt;&gt;0,$J76/$G79&gt;2999,$F79=1),$BQ$5/$G79,0)</f>
        <v>#DIV/0!</v>
      </c>
      <c r="AT77" s="152" t="e">
        <f ca="1">IF(AND($H76&gt;0,$H79=2,$G79&lt;&gt;0,$J76/$G79&gt;2999,$F79=1),$BR$5/$G79,0)</f>
        <v>#DIV/0!</v>
      </c>
      <c r="AU77" s="172" t="e">
        <f ca="1">IF(AND($H76&gt;0,$H79=3,$G79&lt;&gt;0,$J76/$G79&gt;2999,$F79=1),$BS$5/$G79,0)</f>
        <v>#DIV/0!</v>
      </c>
      <c r="AV77" s="150">
        <f ca="1">IF(AND($H76=0,$H79=0,$B79&lt;2,$J77&gt;2999,$F79=0),$BJ$5,0)</f>
        <v>0</v>
      </c>
      <c r="AW77" s="150">
        <f ca="1">IF(AND($H76=0,$H79=0,$B79&gt;1.999,$J77&gt;2999,$F79=0),$BK$5,0)</f>
        <v>0</v>
      </c>
      <c r="AX77" s="151">
        <f ca="1">IF(AND($H76=25,$H79&gt;0,$B79&lt;2,$J77&gt;2999,$F79=0),$BL$5,0)</f>
        <v>0</v>
      </c>
      <c r="AY77" s="151">
        <f ca="1">IF(AND($H76=50,$H79&gt;0,$B79&lt;2,$J77&gt;2999,$F79=0),$BM$5,0)</f>
        <v>0</v>
      </c>
      <c r="AZ77" s="151">
        <f ca="1">IF(AND($H76=100,$H79&gt;0,$B79&lt;2,$J77&gt;2999,$F79=0),$BM$5+($BT$2*$B79),0)</f>
        <v>0</v>
      </c>
      <c r="BA77" s="152">
        <f ca="1">IF(AND($H76=25,$H79&gt;0,$B79&gt;1.999,$J77&gt;2999,$F79=0),$BN$5,0)</f>
        <v>0</v>
      </c>
      <c r="BB77" s="152">
        <f ca="1">IF(AND($H76=50,$H79&gt;0,$B79&gt;1.999,$J77&gt;2999,$F79=0),$BO$5,0)</f>
        <v>0</v>
      </c>
      <c r="BC77" s="152">
        <f ca="1">IF(AND($H76=100,$H79&gt;0,$J77&gt;2999,$B79&gt;1.999,$F79=0),$BO$5+($BT$2*$B79),0)</f>
        <v>0</v>
      </c>
      <c r="BD77" s="165">
        <f ca="1">IFERROR(IF(AND($H76=0,$H79=0,$G79&lt;&gt;0,$J77/$G79&gt;2999,$F79=1),$BP$5/$G79,0),0)</f>
        <v>0</v>
      </c>
      <c r="BE77" s="151">
        <f ca="1">IFERROR(IF(AND($H76&gt;0,$H79=1,$G79&lt;&gt;0,$J77/$G79&gt;2999,$F79=1),$BQ$5/$G79,0),0)</f>
        <v>0</v>
      </c>
      <c r="BF77" s="152">
        <f ca="1">IFERROR(IF(AND($H76&gt;0,$H79=2,$G79&lt;&gt;0,$J77/$G79&gt;2999,$F79=1),$BR$5/$G79,0),0)</f>
        <v>0</v>
      </c>
      <c r="BG77" s="172">
        <f ca="1">IFERROR(IF(AND($H76&gt;0,$H79=3,$G79&lt;&gt;0,$J77/$G79&gt;2999,$F79=1),$BS$5/$G79,0),0)</f>
        <v>0</v>
      </c>
    </row>
    <row r="78" spans="1:61" ht="13.35" customHeight="1">
      <c r="A78" s="260"/>
      <c r="B78" s="275"/>
      <c r="C78" s="274"/>
      <c r="D78" s="147"/>
      <c r="E78" s="147"/>
      <c r="F78" s="275"/>
      <c r="G78" s="178"/>
      <c r="H78" s="269"/>
      <c r="I78" s="178"/>
      <c r="J78" s="6"/>
      <c r="K78" s="157"/>
      <c r="L78" s="162"/>
      <c r="M78" s="162"/>
      <c r="N78" s="272" t="s">
        <v>975</v>
      </c>
      <c r="O78" s="272"/>
      <c r="P78" s="272"/>
      <c r="Q78" s="273" t="s">
        <v>976</v>
      </c>
      <c r="R78" s="273"/>
      <c r="S78" s="273"/>
      <c r="T78" s="271" t="s">
        <v>992</v>
      </c>
      <c r="U78" s="271"/>
      <c r="V78" s="271"/>
      <c r="W78" s="271"/>
      <c r="X78" s="162"/>
      <c r="Y78" s="162"/>
      <c r="Z78" s="272" t="s">
        <v>975</v>
      </c>
      <c r="AA78" s="272"/>
      <c r="AB78" s="272"/>
      <c r="AC78" s="273" t="s">
        <v>976</v>
      </c>
      <c r="AD78" s="273"/>
      <c r="AE78" s="273"/>
      <c r="AF78" s="271" t="s">
        <v>992</v>
      </c>
      <c r="AG78" s="271"/>
      <c r="AH78" s="271"/>
      <c r="AI78" s="271"/>
      <c r="AJ78" s="162"/>
      <c r="AK78" s="162"/>
      <c r="AL78" s="272" t="s">
        <v>975</v>
      </c>
      <c r="AM78" s="272"/>
      <c r="AN78" s="272"/>
      <c r="AO78" s="273" t="s">
        <v>976</v>
      </c>
      <c r="AP78" s="273"/>
      <c r="AQ78" s="273"/>
      <c r="AR78" s="271" t="s">
        <v>992</v>
      </c>
      <c r="AS78" s="271"/>
      <c r="AT78" s="271"/>
      <c r="AU78" s="271"/>
      <c r="AV78" s="162"/>
      <c r="AW78" s="162"/>
      <c r="AX78" s="272" t="s">
        <v>975</v>
      </c>
      <c r="AY78" s="272"/>
      <c r="AZ78" s="272"/>
      <c r="BA78" s="273" t="s">
        <v>976</v>
      </c>
      <c r="BB78" s="273"/>
      <c r="BC78" s="273"/>
      <c r="BD78" s="271" t="s">
        <v>992</v>
      </c>
      <c r="BE78" s="271"/>
      <c r="BF78" s="271"/>
      <c r="BG78" s="271"/>
    </row>
    <row r="79" spans="1:61" ht="13.2">
      <c r="A79" s="260"/>
      <c r="B79" s="158">
        <f ca="1">IF(KLEJENIE!E79=1,Kalk!J75/2,Kalk!J75)</f>
        <v>0</v>
      </c>
      <c r="C79" s="153">
        <f ca="1">IF(SUM(D79:F79)=3,1,0)</f>
        <v>0</v>
      </c>
      <c r="D79" s="88">
        <f ca="1">IF((F75&gt;599)*AND(F75&lt;2851),1,0)</f>
        <v>0</v>
      </c>
      <c r="E79" s="88">
        <f ca="1">IF((G75&gt;399)*AND(G75&lt;1566),1,0)</f>
        <v>0</v>
      </c>
      <c r="F79" s="154">
        <f>IF(Kalk!B75="Die cut",1,0)</f>
        <v>0</v>
      </c>
      <c r="G79" s="154">
        <f>Kalk!J77*Kalk!J78</f>
        <v>0</v>
      </c>
      <c r="H79" s="154">
        <f>Kalk!W75</f>
        <v>0</v>
      </c>
      <c r="I79" s="154">
        <f>IF(OR(I78="F0200",I78="F0201",I78="F0202",I78="F0203",I78="F0201-F0203",I78="F0200-F0203",I78="F0501",I78="F0452"),1,0)</f>
        <v>0</v>
      </c>
      <c r="J79" s="160"/>
      <c r="K79" s="161"/>
      <c r="L79" s="88">
        <f t="shared" ref="L79:BG79" ca="1" si="9">SUM(L74:L78)</f>
        <v>0</v>
      </c>
      <c r="M79" s="88">
        <f t="shared" ca="1" si="9"/>
        <v>0</v>
      </c>
      <c r="N79" s="88">
        <f t="shared" ca="1" si="9"/>
        <v>0</v>
      </c>
      <c r="O79" s="88">
        <f t="shared" ca="1" si="9"/>
        <v>0</v>
      </c>
      <c r="P79" s="88">
        <f t="shared" ca="1" si="9"/>
        <v>0</v>
      </c>
      <c r="Q79" s="88">
        <f t="shared" ca="1" si="9"/>
        <v>0</v>
      </c>
      <c r="R79" s="88">
        <f t="shared" ca="1" si="9"/>
        <v>0</v>
      </c>
      <c r="S79" s="88">
        <f t="shared" ca="1" si="9"/>
        <v>0</v>
      </c>
      <c r="T79" s="88">
        <f t="shared" ca="1" si="9"/>
        <v>0</v>
      </c>
      <c r="U79" s="88">
        <f t="shared" ca="1" si="9"/>
        <v>0</v>
      </c>
      <c r="V79" s="88">
        <f t="shared" ca="1" si="9"/>
        <v>0</v>
      </c>
      <c r="W79" s="88">
        <f t="shared" ca="1" si="9"/>
        <v>0</v>
      </c>
      <c r="X79" s="88">
        <f t="shared" ca="1" si="9"/>
        <v>0</v>
      </c>
      <c r="Y79" s="88">
        <f t="shared" ca="1" si="9"/>
        <v>0</v>
      </c>
      <c r="Z79" s="88">
        <f t="shared" ca="1" si="9"/>
        <v>0</v>
      </c>
      <c r="AA79" s="88">
        <f t="shared" ca="1" si="9"/>
        <v>0</v>
      </c>
      <c r="AB79" s="88">
        <f t="shared" ca="1" si="9"/>
        <v>0</v>
      </c>
      <c r="AC79" s="88">
        <f t="shared" ca="1" si="9"/>
        <v>0</v>
      </c>
      <c r="AD79" s="88">
        <f t="shared" ca="1" si="9"/>
        <v>0</v>
      </c>
      <c r="AE79" s="88">
        <f t="shared" ca="1" si="9"/>
        <v>0</v>
      </c>
      <c r="AF79" s="88">
        <f t="shared" ca="1" si="9"/>
        <v>0</v>
      </c>
      <c r="AG79" s="88">
        <f t="shared" ca="1" si="9"/>
        <v>0</v>
      </c>
      <c r="AH79" s="88">
        <f t="shared" ca="1" si="9"/>
        <v>0</v>
      </c>
      <c r="AI79" s="88" t="e">
        <f t="shared" ca="1" si="9"/>
        <v>#DIV/0!</v>
      </c>
      <c r="AJ79" s="88">
        <f t="shared" ca="1" si="9"/>
        <v>0</v>
      </c>
      <c r="AK79" s="88">
        <f t="shared" ca="1" si="9"/>
        <v>0</v>
      </c>
      <c r="AL79" s="88">
        <f t="shared" ca="1" si="9"/>
        <v>0</v>
      </c>
      <c r="AM79" s="88">
        <f t="shared" ca="1" si="9"/>
        <v>0</v>
      </c>
      <c r="AN79" s="88">
        <f t="shared" ca="1" si="9"/>
        <v>0</v>
      </c>
      <c r="AO79" s="88">
        <f t="shared" ca="1" si="9"/>
        <v>0</v>
      </c>
      <c r="AP79" s="88">
        <f t="shared" ca="1" si="9"/>
        <v>0</v>
      </c>
      <c r="AQ79" s="88">
        <f t="shared" ca="1" si="9"/>
        <v>0</v>
      </c>
      <c r="AR79" s="88" t="e">
        <f t="shared" ca="1" si="9"/>
        <v>#DIV/0!</v>
      </c>
      <c r="AS79" s="88" t="e">
        <f t="shared" ca="1" si="9"/>
        <v>#DIV/0!</v>
      </c>
      <c r="AT79" s="88" t="e">
        <f t="shared" ca="1" si="9"/>
        <v>#DIV/0!</v>
      </c>
      <c r="AU79" s="88" t="e">
        <f t="shared" ca="1" si="9"/>
        <v>#DIV/0!</v>
      </c>
      <c r="AV79" s="88">
        <f t="shared" ca="1" si="9"/>
        <v>0</v>
      </c>
      <c r="AW79" s="88">
        <f t="shared" ca="1" si="9"/>
        <v>0</v>
      </c>
      <c r="AX79" s="88">
        <f t="shared" ca="1" si="9"/>
        <v>0</v>
      </c>
      <c r="AY79" s="88">
        <f t="shared" ca="1" si="9"/>
        <v>0</v>
      </c>
      <c r="AZ79" s="88">
        <f t="shared" ca="1" si="9"/>
        <v>0</v>
      </c>
      <c r="BA79" s="88">
        <f t="shared" ca="1" si="9"/>
        <v>0</v>
      </c>
      <c r="BB79" s="88">
        <f t="shared" ca="1" si="9"/>
        <v>0</v>
      </c>
      <c r="BC79" s="88">
        <f t="shared" ca="1" si="9"/>
        <v>0</v>
      </c>
      <c r="BD79" s="88">
        <f t="shared" ca="1" si="9"/>
        <v>0</v>
      </c>
      <c r="BE79" s="88">
        <f t="shared" ca="1" si="9"/>
        <v>0</v>
      </c>
      <c r="BF79" s="88">
        <f t="shared" ca="1" si="9"/>
        <v>0</v>
      </c>
      <c r="BG79" s="88">
        <f t="shared" ca="1" si="9"/>
        <v>0</v>
      </c>
    </row>
    <row r="80" spans="1:61" ht="13.2">
      <c r="A80" s="260"/>
      <c r="B80" s="123"/>
      <c r="C80" s="123"/>
      <c r="D80" s="123"/>
      <c r="E80" s="168"/>
      <c r="F80" s="166"/>
      <c r="G80" s="166"/>
      <c r="H80" s="169"/>
      <c r="I80" s="169"/>
      <c r="J80" s="166"/>
    </row>
  </sheetData>
  <mergeCells count="223">
    <mergeCell ref="BL1:BM1"/>
    <mergeCell ref="BN1:BO1"/>
    <mergeCell ref="A2:A8"/>
    <mergeCell ref="B2:B3"/>
    <mergeCell ref="F2:G2"/>
    <mergeCell ref="H2:H3"/>
    <mergeCell ref="I2:I3"/>
    <mergeCell ref="B5:B6"/>
    <mergeCell ref="C5:C6"/>
    <mergeCell ref="D5:E5"/>
    <mergeCell ref="F5:F6"/>
    <mergeCell ref="H5:H6"/>
    <mergeCell ref="N6:P6"/>
    <mergeCell ref="Q6:S6"/>
    <mergeCell ref="T6:W6"/>
    <mergeCell ref="Z6:AB6"/>
    <mergeCell ref="AC6:AE6"/>
    <mergeCell ref="AF6:AI6"/>
    <mergeCell ref="AL6:AN6"/>
    <mergeCell ref="AO6:AQ6"/>
    <mergeCell ref="AR6:AU6"/>
    <mergeCell ref="AX6:AZ6"/>
    <mergeCell ref="BA6:BC6"/>
    <mergeCell ref="BD6:BG6"/>
    <mergeCell ref="BP6:BS6"/>
    <mergeCell ref="A10:A16"/>
    <mergeCell ref="B10:B11"/>
    <mergeCell ref="F10:G10"/>
    <mergeCell ref="H10:H11"/>
    <mergeCell ref="I10:I11"/>
    <mergeCell ref="B13:B14"/>
    <mergeCell ref="C13:C14"/>
    <mergeCell ref="D13:E13"/>
    <mergeCell ref="F13:F14"/>
    <mergeCell ref="H13:H14"/>
    <mergeCell ref="N14:P14"/>
    <mergeCell ref="Q14:S14"/>
    <mergeCell ref="T14:W14"/>
    <mergeCell ref="Z14:AB14"/>
    <mergeCell ref="AC14:AE14"/>
    <mergeCell ref="AF14:AI14"/>
    <mergeCell ref="AL14:AN14"/>
    <mergeCell ref="AO14:AQ14"/>
    <mergeCell ref="AR14:AU14"/>
    <mergeCell ref="AX14:AZ14"/>
    <mergeCell ref="BA14:BC14"/>
    <mergeCell ref="BD14:BG14"/>
    <mergeCell ref="A18:A24"/>
    <mergeCell ref="B18:B19"/>
    <mergeCell ref="F18:G18"/>
    <mergeCell ref="H18:H19"/>
    <mergeCell ref="I18:I19"/>
    <mergeCell ref="B21:B22"/>
    <mergeCell ref="C21:C22"/>
    <mergeCell ref="D21:E21"/>
    <mergeCell ref="F21:F22"/>
    <mergeCell ref="H21:H22"/>
    <mergeCell ref="N22:P22"/>
    <mergeCell ref="Q22:S22"/>
    <mergeCell ref="T22:W22"/>
    <mergeCell ref="Z22:AB22"/>
    <mergeCell ref="AC22:AE22"/>
    <mergeCell ref="AF22:AI22"/>
    <mergeCell ref="AL22:AN22"/>
    <mergeCell ref="AO22:AQ22"/>
    <mergeCell ref="AR22:AU22"/>
    <mergeCell ref="AX22:AZ22"/>
    <mergeCell ref="BA22:BC22"/>
    <mergeCell ref="BD22:BG22"/>
    <mergeCell ref="A26:A32"/>
    <mergeCell ref="B26:B27"/>
    <mergeCell ref="F26:G26"/>
    <mergeCell ref="H26:H27"/>
    <mergeCell ref="I26:I27"/>
    <mergeCell ref="B29:B30"/>
    <mergeCell ref="C29:C30"/>
    <mergeCell ref="D29:E29"/>
    <mergeCell ref="F29:F30"/>
    <mergeCell ref="H29:H30"/>
    <mergeCell ref="N30:P30"/>
    <mergeCell ref="Q30:S30"/>
    <mergeCell ref="T30:W30"/>
    <mergeCell ref="Z30:AB30"/>
    <mergeCell ref="AC30:AE30"/>
    <mergeCell ref="AF30:AI30"/>
    <mergeCell ref="AL30:AN30"/>
    <mergeCell ref="AO30:AQ30"/>
    <mergeCell ref="AR30:AU30"/>
    <mergeCell ref="AX30:AZ30"/>
    <mergeCell ref="BA30:BC30"/>
    <mergeCell ref="BD30:BG30"/>
    <mergeCell ref="A34:A40"/>
    <mergeCell ref="B34:B35"/>
    <mergeCell ref="F34:G34"/>
    <mergeCell ref="H34:H35"/>
    <mergeCell ref="I34:I35"/>
    <mergeCell ref="B37:B38"/>
    <mergeCell ref="C37:C38"/>
    <mergeCell ref="D37:E37"/>
    <mergeCell ref="F37:F38"/>
    <mergeCell ref="H37:H38"/>
    <mergeCell ref="N38:P38"/>
    <mergeCell ref="Q38:S38"/>
    <mergeCell ref="T38:W38"/>
    <mergeCell ref="Z38:AB38"/>
    <mergeCell ref="AC38:AE38"/>
    <mergeCell ref="AF38:AI38"/>
    <mergeCell ref="AL38:AN38"/>
    <mergeCell ref="AO38:AQ38"/>
    <mergeCell ref="AR38:AU38"/>
    <mergeCell ref="AX38:AZ38"/>
    <mergeCell ref="BA38:BC38"/>
    <mergeCell ref="BD38:BG38"/>
    <mergeCell ref="A42:A48"/>
    <mergeCell ref="B42:B43"/>
    <mergeCell ref="F42:G42"/>
    <mergeCell ref="H42:H43"/>
    <mergeCell ref="I42:I43"/>
    <mergeCell ref="B45:B46"/>
    <mergeCell ref="C45:C46"/>
    <mergeCell ref="D45:E45"/>
    <mergeCell ref="F45:F46"/>
    <mergeCell ref="H45:H46"/>
    <mergeCell ref="N46:P46"/>
    <mergeCell ref="Q46:S46"/>
    <mergeCell ref="T46:W46"/>
    <mergeCell ref="Z46:AB46"/>
    <mergeCell ref="AC46:AE46"/>
    <mergeCell ref="AF46:AI46"/>
    <mergeCell ref="AL46:AN46"/>
    <mergeCell ref="AO46:AQ46"/>
    <mergeCell ref="AR46:AU46"/>
    <mergeCell ref="AX46:AZ46"/>
    <mergeCell ref="BA46:BC46"/>
    <mergeCell ref="BD46:BG46"/>
    <mergeCell ref="A50:A56"/>
    <mergeCell ref="B50:B51"/>
    <mergeCell ref="F50:G50"/>
    <mergeCell ref="H50:H51"/>
    <mergeCell ref="I50:I51"/>
    <mergeCell ref="B53:B54"/>
    <mergeCell ref="C53:C54"/>
    <mergeCell ref="D53:E53"/>
    <mergeCell ref="F53:F54"/>
    <mergeCell ref="H53:H54"/>
    <mergeCell ref="N54:P54"/>
    <mergeCell ref="Q54:S54"/>
    <mergeCell ref="T54:W54"/>
    <mergeCell ref="Z54:AB54"/>
    <mergeCell ref="AC54:AE54"/>
    <mergeCell ref="AF54:AI54"/>
    <mergeCell ref="AL54:AN54"/>
    <mergeCell ref="AO54:AQ54"/>
    <mergeCell ref="AR54:AU54"/>
    <mergeCell ref="AX54:AZ54"/>
    <mergeCell ref="BA54:BC54"/>
    <mergeCell ref="BD54:BG54"/>
    <mergeCell ref="A58:A64"/>
    <mergeCell ref="B58:B59"/>
    <mergeCell ref="F58:G58"/>
    <mergeCell ref="H58:H59"/>
    <mergeCell ref="I58:I59"/>
    <mergeCell ref="B61:B62"/>
    <mergeCell ref="C61:C62"/>
    <mergeCell ref="D61:E61"/>
    <mergeCell ref="F61:F62"/>
    <mergeCell ref="H61:H62"/>
    <mergeCell ref="N62:P62"/>
    <mergeCell ref="Q62:S62"/>
    <mergeCell ref="T62:W62"/>
    <mergeCell ref="Z62:AB62"/>
    <mergeCell ref="AC62:AE62"/>
    <mergeCell ref="AF62:AI62"/>
    <mergeCell ref="AL62:AN62"/>
    <mergeCell ref="AO62:AQ62"/>
    <mergeCell ref="AR62:AU62"/>
    <mergeCell ref="AX62:AZ62"/>
    <mergeCell ref="BA62:BC62"/>
    <mergeCell ref="BD62:BG62"/>
    <mergeCell ref="A66:A72"/>
    <mergeCell ref="B66:B67"/>
    <mergeCell ref="F66:G66"/>
    <mergeCell ref="H66:H67"/>
    <mergeCell ref="I66:I67"/>
    <mergeCell ref="B69:B70"/>
    <mergeCell ref="C69:C70"/>
    <mergeCell ref="D69:E69"/>
    <mergeCell ref="F69:F70"/>
    <mergeCell ref="H69:H70"/>
    <mergeCell ref="BA78:BC78"/>
    <mergeCell ref="N70:P70"/>
    <mergeCell ref="Q70:S70"/>
    <mergeCell ref="T70:W70"/>
    <mergeCell ref="Z70:AB70"/>
    <mergeCell ref="AC70:AE70"/>
    <mergeCell ref="AF70:AI70"/>
    <mergeCell ref="AL70:AN70"/>
    <mergeCell ref="AO70:AQ70"/>
    <mergeCell ref="AR70:AU70"/>
    <mergeCell ref="BD78:BG78"/>
    <mergeCell ref="AX70:AZ70"/>
    <mergeCell ref="BA70:BC70"/>
    <mergeCell ref="BD70:BG70"/>
    <mergeCell ref="A74:A80"/>
    <mergeCell ref="B74:B75"/>
    <mergeCell ref="F74:G74"/>
    <mergeCell ref="H74:H75"/>
    <mergeCell ref="I74:I75"/>
    <mergeCell ref="B77:B78"/>
    <mergeCell ref="C77:C78"/>
    <mergeCell ref="D77:E77"/>
    <mergeCell ref="F77:F78"/>
    <mergeCell ref="H77:H78"/>
    <mergeCell ref="N78:P78"/>
    <mergeCell ref="Q78:S78"/>
    <mergeCell ref="T78:W78"/>
    <mergeCell ref="Z78:AB78"/>
    <mergeCell ref="AC78:AE78"/>
    <mergeCell ref="AF78:AI78"/>
    <mergeCell ref="AL78:AN78"/>
    <mergeCell ref="AO78:AQ78"/>
    <mergeCell ref="AR78:AU78"/>
    <mergeCell ref="AX78:AZ7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FFC000"/>
    <pageSetUpPr fitToPage="1"/>
  </sheetPr>
  <dimension ref="A1:Q92"/>
  <sheetViews>
    <sheetView zoomScale="74" zoomScaleNormal="74" workbookViewId="0">
      <selection activeCell="F89" sqref="F89"/>
    </sheetView>
  </sheetViews>
  <sheetFormatPr defaultColWidth="11.5546875" defaultRowHeight="12.75" customHeight="1"/>
  <cols>
    <col min="11" max="11" width="23.6640625" customWidth="1"/>
    <col min="13" max="14" width="13.44140625" customWidth="1"/>
    <col min="18" max="18" width="13" customWidth="1"/>
  </cols>
  <sheetData>
    <row r="1" spans="1:17" ht="13.2">
      <c r="J1" s="88"/>
      <c r="K1" s="110"/>
      <c r="M1" s="262" t="s">
        <v>955</v>
      </c>
      <c r="N1" s="262"/>
      <c r="O1" t="s">
        <v>1053</v>
      </c>
      <c r="P1" t="s">
        <v>978</v>
      </c>
      <c r="Q1" t="s">
        <v>1054</v>
      </c>
    </row>
    <row r="2" spans="1:17" ht="13.2">
      <c r="J2" s="88" t="s">
        <v>83</v>
      </c>
      <c r="K2" s="110" t="s">
        <v>956</v>
      </c>
      <c r="M2" s="117" t="s">
        <v>1055</v>
      </c>
      <c r="N2" s="117" t="s">
        <v>1056</v>
      </c>
      <c r="O2" s="117"/>
      <c r="P2" s="117"/>
      <c r="Q2" s="117"/>
    </row>
    <row r="3" spans="1:17" ht="12.9" customHeight="1">
      <c r="A3" s="260">
        <v>1</v>
      </c>
      <c r="B3" s="267" t="s">
        <v>962</v>
      </c>
      <c r="C3" s="147" t="s">
        <v>56</v>
      </c>
      <c r="D3" s="147" t="s">
        <v>57</v>
      </c>
      <c r="E3" s="147" t="s">
        <v>66</v>
      </c>
      <c r="F3" s="268" t="s">
        <v>963</v>
      </c>
      <c r="G3" s="268"/>
      <c r="H3" s="148" t="s">
        <v>964</v>
      </c>
      <c r="I3" s="269" t="s">
        <v>965</v>
      </c>
      <c r="J3" s="88">
        <f>Kalk!AH3</f>
        <v>1000</v>
      </c>
      <c r="K3" s="150">
        <f>IF(AND(J3&gt;=$M$3,J3&lt;=$N$3), IF($I$8&lt;=0, $O$3/J3,($I$8-1)*$Q$3 + $P$3/J3  ),     IF(AND(J3&gt;=$M$4,J3&lt;=$N$4),  IF($I$8&lt;=0, $O$4,    ($I$8-1)*$Q$3 +$P$4),     IF(AND(J3&gt;=$M$5,J3&lt;=$N$5),  IF($I$8&lt;=0, $O$5,    ($I$8-1)*$Q$3 + $P$5),      IF(AND(J3&gt;=$M$6,J3&lt;=$N$6),  IF($I$8&lt;=0, $O$6,    ($I$8-1)*$Q$3 + $P$6),     IF(J3&gt;=$M$7,  IF($I$8&lt;=0, $O$7,    ($I$8-1)*$Q$3 + $P$7)         )))))</f>
        <v>0.26</v>
      </c>
      <c r="L3" s="180" t="b">
        <f>IF(AND(J3&gt;=M3,J3&lt;=N3),TRUE())</f>
        <v>0</v>
      </c>
      <c r="M3">
        <v>0</v>
      </c>
      <c r="N3">
        <v>249</v>
      </c>
      <c r="O3">
        <v>120</v>
      </c>
      <c r="P3">
        <v>170</v>
      </c>
      <c r="Q3">
        <v>0.05</v>
      </c>
    </row>
    <row r="4" spans="1:17" ht="13.2">
      <c r="A4" s="260"/>
      <c r="B4" s="267"/>
      <c r="C4" s="147">
        <f>Kalk!C4</f>
        <v>0</v>
      </c>
      <c r="D4" s="147">
        <f>Kalk!E4</f>
        <v>0</v>
      </c>
      <c r="E4" s="147">
        <f>Kalk!G4</f>
        <v>0</v>
      </c>
      <c r="F4" s="147">
        <f ca="1">Kalk!I4</f>
        <v>63</v>
      </c>
      <c r="G4" s="147">
        <f ca="1">Kalk!I6</f>
        <v>22</v>
      </c>
      <c r="H4" s="147" t="str">
        <f>Kalk!B4</f>
        <v>F0201</v>
      </c>
      <c r="I4" s="269"/>
      <c r="J4" s="88">
        <f>Kalk!AH4</f>
        <v>0</v>
      </c>
      <c r="K4" s="150" t="e">
        <f>IF(AND(J4&gt;=$M$3,J4&lt;=$N$3), IF($I$8&lt;=0, $O$3/J4,($I$8-1)*$Q$3 + $P$3/J4  ),     IF(AND(J4&gt;=$M$4,J4&lt;=$N$4),  IF($I$8&lt;=0, $O$4,    ($I$8-1)*$Q$3 +$P$4),     IF(AND(J4&gt;=$M$5,J4&lt;=$N$5),  IF($I$8&lt;=0, $O$5,    ($I$8-1)*$Q$3 + $P$5),      IF(AND(J4&gt;=$M$6,J4&lt;=$N$6),  IF($I$8&lt;=0, $O$6,    ($I$8-1)*$Q$3 + $P$6),     IF(J4&gt;=$M$7,  IF($I$8&lt;=0, $O$7,    ($I$8-1)*$Q$3 + $P$7)         )))))</f>
        <v>#DIV/0!</v>
      </c>
      <c r="M4">
        <v>250</v>
      </c>
      <c r="N4">
        <v>499</v>
      </c>
      <c r="O4">
        <v>0.49</v>
      </c>
      <c r="P4" s="145">
        <v>0.56000000000000005</v>
      </c>
    </row>
    <row r="5" spans="1:17" ht="13.2">
      <c r="A5" s="260"/>
      <c r="B5" s="153">
        <f ca="1">IF(SUM(C5:H5)+F8+H8=8,1,IF(SUM(C5:H5)+H8=17,2,IF((SUM(C5:H5)+H8=27)*OR(SUM(C5:H5)+H8=17),2,0)))</f>
        <v>0</v>
      </c>
      <c r="C5" s="88">
        <f>IF((C4&gt;=200)*AND(C4&lt;250),11,IF((C4&gt;=250)*AND(C4&lt;=1000),1,0))</f>
        <v>0</v>
      </c>
      <c r="D5" s="88">
        <f ca="1">IF(AND(D4&gt;=200,D4&lt;250,ISOWA!B5=0),11,IF(AND(D4&gt;=250,D4&lt;700),1, 0))</f>
        <v>0</v>
      </c>
      <c r="E5" s="88">
        <v>0</v>
      </c>
      <c r="F5" s="88">
        <f ca="1">IF((F4&gt;=835)*AND(F4&lt;=2900),1,0)</f>
        <v>0</v>
      </c>
      <c r="G5" s="88">
        <f ca="1">IF((G4&gt;=520)*AND(G4&lt;=1320),1,0)</f>
        <v>0</v>
      </c>
      <c r="H5" s="88">
        <f>IF(OR(H4="F0200",H4="F0201",H4="F0202",H4="F0203",H4="F0201-F0203",H4="F0200-F0203",H4="F0501"),1,0)</f>
        <v>1</v>
      </c>
      <c r="I5" s="154">
        <f>Kalk!M3</f>
        <v>0</v>
      </c>
      <c r="J5" s="88">
        <f>Kalk!AH5</f>
        <v>0</v>
      </c>
      <c r="K5" s="150" t="e">
        <f>IF(AND(J5&gt;=$M$3,J5&lt;=$N$3), IF($I$8&lt;=0, $O$3/J5,($I$8-1)*$Q$3 + $P$3/J5  ),     IF(AND(J5&gt;=$M$4,J5&lt;=$N$4),  IF($I$8&lt;=0, $O$4,    ($I$8-1)*$Q$3 +$P$4),     IF(AND(J5&gt;=$M$5,J5&lt;=$N$5),  IF($I$8&lt;=0, $O$5,    ($I$8-1)*$Q$3 + $P$5),      IF(AND(J5&gt;=$M$6,J5&lt;=$N$6),  IF($I$8&lt;=0, $O$6,    ($I$8-1)*$Q$3 + $P$6),     IF(J5&gt;=$M$7,  IF($I$8&lt;=0, $O$7,    ($I$8-1)*$Q$3 + $P$7)         )))))</f>
        <v>#DIV/0!</v>
      </c>
      <c r="M5">
        <v>500</v>
      </c>
      <c r="N5">
        <v>999</v>
      </c>
      <c r="O5">
        <v>0.36</v>
      </c>
      <c r="P5" s="145">
        <v>0.4</v>
      </c>
    </row>
    <row r="6" spans="1:17" ht="12.9" customHeight="1">
      <c r="A6" s="260"/>
      <c r="B6" s="269" t="s">
        <v>968</v>
      </c>
      <c r="C6" s="6" t="s">
        <v>78</v>
      </c>
      <c r="D6" s="6" t="s">
        <v>1057</v>
      </c>
      <c r="E6" s="6" t="s">
        <v>76</v>
      </c>
      <c r="F6" s="269" t="s">
        <v>1058</v>
      </c>
      <c r="G6" s="269" t="s">
        <v>1059</v>
      </c>
      <c r="H6" s="269" t="s">
        <v>1060</v>
      </c>
      <c r="I6" s="269" t="s">
        <v>971</v>
      </c>
      <c r="J6" s="88">
        <f>Kalk!AH6</f>
        <v>0</v>
      </c>
      <c r="K6" s="150" t="e">
        <f>IF(AND(J6&gt;=$M$3,J6&lt;=$N$3), IF($I$8&lt;=0, $O$3/J6,($I$8-1)*$Q$3 + $P$3/J6  ),     IF(AND(J6&gt;=$M$4,J6&lt;=$N$4),  IF($I$8&lt;=0, $O$4,    ($I$8-1)*$Q$3 +$P$4),     IF(AND(J6&gt;=$M$5,J6&lt;=$N$5),  IF($I$8&lt;=0, $O$5,    ($I$8-1)*$Q$3 + $P$5),      IF(AND(J6&gt;=$M$6,J6&lt;=$N$6),  IF($I$8&lt;=0, $O$6,    ($I$8-1)*$Q$3 + $P$6),     IF(J6&gt;=$M$7,  IF($I$8&lt;=0, $O$7,    ($I$8-1)*$Q$3 + $P$7)         )))))</f>
        <v>#DIV/0!</v>
      </c>
      <c r="M6">
        <v>1000</v>
      </c>
      <c r="N6">
        <v>2999</v>
      </c>
      <c r="O6">
        <v>0.26</v>
      </c>
      <c r="P6" s="145">
        <v>0.3</v>
      </c>
    </row>
    <row r="7" spans="1:17" ht="13.2">
      <c r="A7" s="260"/>
      <c r="B7" s="269"/>
      <c r="C7" s="155"/>
      <c r="D7" s="155"/>
      <c r="F7" s="269"/>
      <c r="G7" s="269"/>
      <c r="H7" s="269"/>
      <c r="I7" s="269"/>
      <c r="J7" s="6"/>
      <c r="K7" s="157"/>
      <c r="M7">
        <v>3000</v>
      </c>
      <c r="N7">
        <v>1000000000000</v>
      </c>
      <c r="O7">
        <v>0.16</v>
      </c>
      <c r="P7" s="145">
        <v>0.2</v>
      </c>
    </row>
    <row r="8" spans="1:17" ht="13.2">
      <c r="A8" s="260"/>
      <c r="B8" s="158">
        <f ca="1">Kalk!J3</f>
        <v>1.3860000000000001E-3</v>
      </c>
      <c r="C8" s="123"/>
      <c r="D8" s="123"/>
      <c r="E8" s="159"/>
      <c r="F8" s="88">
        <f>IF(Kalk!L4&lt;861,1,0)</f>
        <v>1</v>
      </c>
      <c r="G8" s="154">
        <f ca="1">IF(C5+E5+G5+H5+H8=5,1,IF(C5+E5+G5+H5+H8=15,2,IF((C5+E5+G5+H5+H8=25)*OR(C5+E5+G5+H5+H8=15),2,0)))</f>
        <v>0</v>
      </c>
      <c r="H8" s="154">
        <f>IF(E4&lt;=890,1,IF(E4+((G4-E4)/2)&lt;=1145,1,0))</f>
        <v>1</v>
      </c>
      <c r="I8" s="154">
        <f>Kalk!W3</f>
        <v>0</v>
      </c>
      <c r="J8" s="160"/>
      <c r="K8" s="161"/>
    </row>
    <row r="9" spans="1:17" ht="13.2">
      <c r="A9" s="260"/>
      <c r="B9" s="158">
        <f ca="1">Kalk!J3</f>
        <v>1.3860000000000001E-3</v>
      </c>
      <c r="C9" s="123"/>
      <c r="D9" s="123"/>
      <c r="E9" s="159"/>
      <c r="F9" s="6"/>
      <c r="G9" s="6"/>
      <c r="H9" s="154"/>
      <c r="I9" s="154"/>
      <c r="J9" s="160"/>
      <c r="K9" s="161"/>
    </row>
    <row r="10" spans="1:17" ht="13.2">
      <c r="A10" s="260"/>
      <c r="B10" s="158">
        <f ca="1">Kalk!J3</f>
        <v>1.3860000000000001E-3</v>
      </c>
      <c r="C10" s="123"/>
      <c r="D10" s="123"/>
      <c r="E10" s="159"/>
      <c r="F10" s="6"/>
      <c r="G10" s="6"/>
      <c r="H10" s="6"/>
      <c r="I10" s="6"/>
      <c r="J10" s="166"/>
    </row>
    <row r="11" spans="1:17" ht="13.2">
      <c r="B11" s="158">
        <f ca="1">Kalk!J3</f>
        <v>1.3860000000000001E-3</v>
      </c>
      <c r="J11" s="88" t="s">
        <v>83</v>
      </c>
      <c r="K11" s="110" t="s">
        <v>956</v>
      </c>
    </row>
    <row r="12" spans="1:17" ht="12.9" customHeight="1">
      <c r="A12" s="260">
        <v>2</v>
      </c>
      <c r="B12" s="267" t="s">
        <v>962</v>
      </c>
      <c r="C12" s="147" t="s">
        <v>56</v>
      </c>
      <c r="D12" s="147" t="s">
        <v>57</v>
      </c>
      <c r="E12" s="147" t="s">
        <v>66</v>
      </c>
      <c r="F12" s="268" t="s">
        <v>963</v>
      </c>
      <c r="G12" s="268"/>
      <c r="H12" s="148" t="s">
        <v>964</v>
      </c>
      <c r="I12" s="269" t="s">
        <v>965</v>
      </c>
      <c r="J12" s="88">
        <f>Kalk!AH7</f>
        <v>0</v>
      </c>
      <c r="K12" s="150" t="e">
        <f>IF(AND(J12&gt;=$M$3,J12&lt;=$N$3), IF($I$17&lt;=0, $O$3/J12,($I$17-1)*$Q$3 + $P$3/J12  ),     IF(AND(J12&gt;=$M$4,J12&lt;=$N$4),  IF($I$17&lt;=0, $O$4,    ($I$17-1)*$Q$3 +$P$4),     IF(AND(J12&gt;=$M$5,J12&lt;=$N$5),  IF($I$17&lt;=0, $O$5,    ($I$17-1)*$Q$3 + $P$5),      IF(AND(J12&gt;=$M$6,J12&lt;=$N$6),  IF($I$17&lt;=0, $O$6,    ($I$17-1)*$Q$3 + $P$6),     IF(J12&gt;=$M$7,  IF($I$17&lt;=0, $O$7,    ($I$17-1)*$Q$3 + $P$7)         )))))</f>
        <v>#DIV/0!</v>
      </c>
      <c r="L12" s="180" t="b">
        <f>IF(AND(J12&gt;=M12,J12&lt;=N12),TRUE())</f>
        <v>1</v>
      </c>
    </row>
    <row r="13" spans="1:17" ht="13.2">
      <c r="A13" s="260"/>
      <c r="B13" s="267"/>
      <c r="C13" s="147">
        <f>Kalk!C8</f>
        <v>0</v>
      </c>
      <c r="D13" s="147">
        <f>Kalk!E8</f>
        <v>0</v>
      </c>
      <c r="E13" s="147">
        <f>Kalk!G8</f>
        <v>0</v>
      </c>
      <c r="F13" s="147">
        <f ca="1">Kalk!I8</f>
        <v>63</v>
      </c>
      <c r="G13" s="147">
        <f ca="1">Kalk!I10</f>
        <v>22</v>
      </c>
      <c r="H13" s="147" t="str">
        <f>Kalk!B8</f>
        <v>F0201</v>
      </c>
      <c r="I13" s="269"/>
      <c r="J13" s="88">
        <f>Kalk!AH8</f>
        <v>0</v>
      </c>
      <c r="K13" s="150" t="e">
        <f>IF(AND(J13&gt;=$M$3,J13&lt;=$N$3), IF($I$17&lt;=0, $O$3/J13,($I$17-1)*$Q$3 + $P$3/J13  ),     IF(AND(J13&gt;=$M$4,J13&lt;=$N$4),  IF($I$17&lt;=0, $O$4,    ($I$17-1)*$Q$3 +$P$4),     IF(AND(J13&gt;=$M$5,J13&lt;=$N$5),  IF($I$17&lt;=0, $O$5,    ($I$17-1)*$Q$3 + $P$5),      IF(AND(J13&gt;=$M$6,J13&lt;=$N$6),  IF($I$17&lt;=0, $O$6,    ($I$17-1)*$Q$3 + $P$6),     IF(J13&gt;=$M$7,  IF($I$17&lt;=0, $O$7,    ($I$17-1)*$Q$3 + $P$7)         )))))</f>
        <v>#DIV/0!</v>
      </c>
    </row>
    <row r="14" spans="1:17" ht="13.2">
      <c r="A14" s="260"/>
      <c r="B14" s="153">
        <f ca="1">IF(SUM(C14:H14)+F17+H17=8,1,IF(SUM(C14:H14)+H17=17,2,IF((SUM(C14:H14)+H17=27)*OR(SUM(C14:H14)+H17=17),2,0)))</f>
        <v>0</v>
      </c>
      <c r="C14" s="88">
        <f>IF((C13&gt;=200)*AND(C13&lt;250),11,IF((C13&gt;=250)*AND(C13&lt;=1000),1,0))</f>
        <v>0</v>
      </c>
      <c r="D14" s="88">
        <f ca="1">IF(AND(D13&gt;=200,D13&lt;250,ISOWA!B14=0),11,IF(AND(D13&gt;=250,D13&lt;700),1, 0))</f>
        <v>0</v>
      </c>
      <c r="E14" s="88">
        <v>0</v>
      </c>
      <c r="F14" s="88">
        <f ca="1">IF((F13&gt;=835)*AND(F13&lt;=2900),1,0)</f>
        <v>0</v>
      </c>
      <c r="G14" s="88">
        <f ca="1">IF((G13&gt;=520)*AND(G13&lt;=1320),1,0)</f>
        <v>0</v>
      </c>
      <c r="H14" s="88">
        <f>IF(OR(H13="F0200",H13="F0201",H13="F0202",H13="F0203",H13="F0201-F0203",H13="F0200-F0203",H13="F0501"),1,0)</f>
        <v>1</v>
      </c>
      <c r="I14" s="154" t="str">
        <f>Kalk!M12</f>
        <v>-</v>
      </c>
      <c r="J14" s="88">
        <f>Kalk!AH9</f>
        <v>0</v>
      </c>
      <c r="K14" s="150" t="e">
        <f>IF(AND(J14&gt;=$M$3,J14&lt;=$N$3), IF($I$17&lt;=0, $O$3/J14,($I$17-1)*$Q$3 + $P$3/J14  ),     IF(AND(J14&gt;=$M$4,J14&lt;=$N$4),  IF($I$17&lt;=0, $O$4,    ($I$17-1)*$Q$3 +$P$4),     IF(AND(J14&gt;=$M$5,J14&lt;=$N$5),  IF($I$17&lt;=0, $O$5,    ($I$17-1)*$Q$3 + $P$5),      IF(AND(J14&gt;=$M$6,J14&lt;=$N$6),  IF($I$17&lt;=0, $O$6,    ($I$17-1)*$Q$3 + $P$6),     IF(J14&gt;=$M$7,  IF($I$17&lt;=0, $O$7,    ($I$17-1)*$Q$3 + $P$7)         )))))</f>
        <v>#DIV/0!</v>
      </c>
    </row>
    <row r="15" spans="1:17" ht="12.9" customHeight="1">
      <c r="A15" s="260"/>
      <c r="B15" s="269" t="s">
        <v>968</v>
      </c>
      <c r="C15" s="6" t="s">
        <v>78</v>
      </c>
      <c r="D15" s="6" t="s">
        <v>1057</v>
      </c>
      <c r="E15" s="6" t="s">
        <v>76</v>
      </c>
      <c r="F15" s="269" t="s">
        <v>1058</v>
      </c>
      <c r="G15" s="269" t="s">
        <v>1059</v>
      </c>
      <c r="H15" s="269" t="s">
        <v>1060</v>
      </c>
      <c r="I15" s="269" t="s">
        <v>971</v>
      </c>
      <c r="J15" s="88">
        <f>Kalk!AH10</f>
        <v>0</v>
      </c>
      <c r="K15" s="150" t="e">
        <f>IF(AND(J15&gt;=$M$3,J15&lt;=$N$3), IF($I$17&lt;=0, $O$3/J15,($I$17-1)*$Q$3 + $P$3/J15  ),     IF(AND(J15&gt;=$M$4,J15&lt;=$N$4),  IF($I$17&lt;=0, $O$4,    ($I$17-1)*$Q$3 +$P$4),     IF(AND(J15&gt;=$M$5,J15&lt;=$N$5),  IF($I$17&lt;=0, $O$5,    ($I$17-1)*$Q$3 + $P$5),      IF(AND(J15&gt;=$M$6,J15&lt;=$N$6),  IF($I$17&lt;=0, $O$6,    ($I$17-1)*$Q$3 + $P$6),     IF(J15&gt;=$M$7,  IF($I$17&lt;=0, $O$7,    ($I$17-1)*$Q$3 + $P$7)         )))))</f>
        <v>#DIV/0!</v>
      </c>
    </row>
    <row r="16" spans="1:17" ht="13.2">
      <c r="A16" s="260"/>
      <c r="B16" s="269"/>
      <c r="C16" s="155"/>
      <c r="D16" s="155"/>
      <c r="F16" s="269"/>
      <c r="G16" s="269"/>
      <c r="H16" s="269"/>
      <c r="I16" s="269"/>
      <c r="J16" s="6"/>
      <c r="K16" s="157"/>
    </row>
    <row r="17" spans="1:12" ht="13.2">
      <c r="A17" s="260"/>
      <c r="B17" s="158">
        <f ca="1">Kalk!J7</f>
        <v>1.3860000000000001E-3</v>
      </c>
      <c r="C17" s="123"/>
      <c r="D17" s="123"/>
      <c r="E17" s="159"/>
      <c r="F17" s="88">
        <f>IF(Kalk!L8&lt;861,1,0)</f>
        <v>1</v>
      </c>
      <c r="G17" s="154">
        <f ca="1">IF(C14+E14+G14+H14+H17=5,1,IF(C14+E14+G14+H14+H17=15,2,IF((C14+E14+G14+H14+H17=25)*OR(C14+E14+G14+H14+H17=15),2,0)))</f>
        <v>0</v>
      </c>
      <c r="H17" s="154">
        <f>IF(E13&lt;=890,1,IF(E13+((G13-E13)/2)&lt;=1145,1,0))</f>
        <v>1</v>
      </c>
      <c r="I17" s="154">
        <f>Kalk!W7</f>
        <v>0</v>
      </c>
      <c r="J17" s="160"/>
      <c r="K17" s="161"/>
    </row>
    <row r="18" spans="1:12" ht="13.2">
      <c r="A18" s="260"/>
      <c r="B18" s="158">
        <f ca="1">Kalk!J7</f>
        <v>1.3860000000000001E-3</v>
      </c>
      <c r="C18" s="123"/>
      <c r="D18" s="123"/>
      <c r="E18" s="159"/>
      <c r="F18" s="6"/>
      <c r="G18" s="6"/>
      <c r="H18" s="154"/>
      <c r="I18" s="154"/>
      <c r="J18" s="160"/>
      <c r="K18" s="161"/>
    </row>
    <row r="19" spans="1:12" ht="13.2">
      <c r="A19" s="260"/>
      <c r="B19" s="158">
        <f ca="1">Kalk!J7</f>
        <v>1.3860000000000001E-3</v>
      </c>
      <c r="C19" s="123"/>
      <c r="D19" s="123"/>
      <c r="E19" s="159"/>
      <c r="F19" s="6"/>
      <c r="G19" s="6"/>
      <c r="H19" s="6"/>
      <c r="I19" s="6"/>
      <c r="J19" s="166"/>
    </row>
    <row r="20" spans="1:12" ht="13.2">
      <c r="B20" s="158">
        <f ca="1">Kalk!J7</f>
        <v>1.3860000000000001E-3</v>
      </c>
      <c r="C20" s="167"/>
      <c r="D20" s="167"/>
      <c r="E20" s="167"/>
      <c r="F20" s="167"/>
      <c r="G20" s="167"/>
      <c r="H20" s="167"/>
      <c r="I20" s="167"/>
      <c r="J20" s="88" t="s">
        <v>83</v>
      </c>
      <c r="K20" s="110" t="s">
        <v>956</v>
      </c>
    </row>
    <row r="21" spans="1:12" ht="12.9" customHeight="1">
      <c r="A21" s="260">
        <v>3</v>
      </c>
      <c r="B21" s="267" t="s">
        <v>962</v>
      </c>
      <c r="C21" s="147" t="s">
        <v>56</v>
      </c>
      <c r="D21" s="147" t="s">
        <v>57</v>
      </c>
      <c r="E21" s="147" t="s">
        <v>66</v>
      </c>
      <c r="F21" s="268" t="s">
        <v>963</v>
      </c>
      <c r="G21" s="268"/>
      <c r="H21" s="148" t="s">
        <v>964</v>
      </c>
      <c r="I21" s="269" t="s">
        <v>965</v>
      </c>
      <c r="J21" s="88">
        <f>Kalk!AH11</f>
        <v>0</v>
      </c>
      <c r="K21" s="150" t="e">
        <f>IF(AND(J21&gt;=$M$3,J21&lt;=$N$3), IF($I$26&lt;=0, $O$3/J21,($I$26-1)*$Q$3 + $P$3/J21  ),     IF(AND(J21&gt;=$M$4,J21&lt;=$N$4),  IF($I$26&lt;=0, $O$4,    ($I$26-1)*$Q$3 +$P$4),     IF(AND(J21&gt;=$M$5,J21&lt;=$N$5),  IF($I$26&lt;=0, $O$5,    ($I$26-1)*$Q$3 + $P$5),      IF(AND(J21&gt;=$M$6,J21&lt;=$N$6),  IF($I$26&lt;=0, $O$6,    ($I$26-1)*$Q$3 + $P$6),     IF(J21&gt;=$M$7,  IF($I$26&lt;=0, $O$7,    ($I$26-1)*$Q$3 + $P$7)         )))))</f>
        <v>#DIV/0!</v>
      </c>
      <c r="L21" s="180" t="b">
        <f>IF(AND(J21&gt;=M21,J21&lt;=N21),TRUE())</f>
        <v>1</v>
      </c>
    </row>
    <row r="22" spans="1:12" ht="13.2">
      <c r="A22" s="260"/>
      <c r="B22" s="267"/>
      <c r="C22" s="147">
        <f>Kalk!C12</f>
        <v>0</v>
      </c>
      <c r="D22" s="147">
        <f>Kalk!E12</f>
        <v>0</v>
      </c>
      <c r="E22" s="147">
        <f>Kalk!G12</f>
        <v>0</v>
      </c>
      <c r="F22" s="147">
        <f ca="1">Kalk!I12</f>
        <v>47</v>
      </c>
      <c r="G22" s="147">
        <f ca="1">Kalk!I14</f>
        <v>8</v>
      </c>
      <c r="H22" s="147" t="str">
        <f>Kalk!B12</f>
        <v>F0201</v>
      </c>
      <c r="I22" s="269"/>
      <c r="J22" s="88">
        <f>Kalk!AH12</f>
        <v>0</v>
      </c>
      <c r="K22" s="150" t="e">
        <f>IF(AND(J22&gt;=$M$3,J22&lt;=$N$3), IF($I$26&lt;=0, $O$3/J22,($I$26-1)*$Q$3 + $P$3/J22  ),     IF(AND(J22&gt;=$M$4,J22&lt;=$N$4),  IF($I$26&lt;=0, $O$4,    ($I$26-1)*$Q$3 +$P$4),     IF(AND(J22&gt;=$M$5,J22&lt;=$N$5),  IF($I$26&lt;=0, $O$5,    ($I$26-1)*$Q$3 + $P$5),      IF(AND(J22&gt;=$M$6,J22&lt;=$N$6),  IF($I$26&lt;=0, $O$6,    ($I$26-1)*$Q$3 + $P$6),     IF(J22&gt;=$M$7,  IF($I$26&lt;=0, $O$7,    ($I$26-1)*$Q$3 + $P$7)         )))))</f>
        <v>#DIV/0!</v>
      </c>
    </row>
    <row r="23" spans="1:12" ht="13.2">
      <c r="A23" s="260"/>
      <c r="B23" s="153">
        <f ca="1">IF(SUM(C23:H23)+F26+H26=8,1,IF(SUM(C23:H23)+H26=17,2,IF((SUM(C23:H23)+H26=27)*OR(SUM(C23:H23)+H26=17),2,0)))</f>
        <v>0</v>
      </c>
      <c r="C23" s="88">
        <f>IF((C22&gt;=200)*AND(C22&lt;250),11,IF((C22&gt;=250)*AND(C22&lt;=1000),1,0))</f>
        <v>0</v>
      </c>
      <c r="D23" s="88">
        <f ca="1">IF(AND(D22&gt;=200,D22&lt;250,ISOWA!B23=0),11,IF(AND(D22&gt;=250,D22&lt;700),1, 0))</f>
        <v>0</v>
      </c>
      <c r="E23" s="88">
        <v>0</v>
      </c>
      <c r="F23" s="88">
        <f ca="1">IF((F22&gt;=835)*AND(F22&lt;=2900),1,0)</f>
        <v>0</v>
      </c>
      <c r="G23" s="88">
        <f ca="1">IF((G22&gt;=520)*AND(G22&lt;=1320),1,0)</f>
        <v>0</v>
      </c>
      <c r="H23" s="88">
        <f>IF(OR(H22="F0200",H22="F0201",H22="F0202",H22="F0203",H22="F0201-F0203",H22="F0200-F0203",H22="F0501"),1,0)</f>
        <v>1</v>
      </c>
      <c r="I23" s="154" t="str">
        <f>Kalk!M21</f>
        <v>-</v>
      </c>
      <c r="J23" s="88">
        <f>Kalk!AH13</f>
        <v>0</v>
      </c>
      <c r="K23" s="150" t="e">
        <f>IF(AND(J23&gt;=$M$3,J23&lt;=$N$3), IF($I$26&lt;=0, $O$3/J23,($I$26-1)*$Q$3 + $P$3/J23  ),     IF(AND(J23&gt;=$M$4,J23&lt;=$N$4),  IF($I$26&lt;=0, $O$4,    ($I$26-1)*$Q$3 +$P$4),     IF(AND(J23&gt;=$M$5,J23&lt;=$N$5),  IF($I$26&lt;=0, $O$5,    ($I$26-1)*$Q$3 + $P$5),      IF(AND(J23&gt;=$M$6,J23&lt;=$N$6),  IF($I$26&lt;=0, $O$6,    ($I$26-1)*$Q$3 + $P$6),     IF(J23&gt;=$M$7,  IF($I$26&lt;=0, $O$7,    ($I$26-1)*$Q$3 + $P$7)         )))))</f>
        <v>#DIV/0!</v>
      </c>
    </row>
    <row r="24" spans="1:12" ht="12.9" customHeight="1">
      <c r="A24" s="260"/>
      <c r="B24" s="269" t="s">
        <v>968</v>
      </c>
      <c r="E24" t="s">
        <v>35</v>
      </c>
      <c r="F24" s="269" t="s">
        <v>1058</v>
      </c>
      <c r="G24" s="269" t="s">
        <v>1059</v>
      </c>
      <c r="H24" s="269" t="s">
        <v>1060</v>
      </c>
      <c r="I24" s="269" t="s">
        <v>971</v>
      </c>
      <c r="J24" s="88">
        <f>Kalk!AH14</f>
        <v>0</v>
      </c>
      <c r="K24" s="150" t="e">
        <f>IF(AND(J24&gt;=$M$3,J24&lt;=$N$3), IF($I$26&lt;=0, $O$3/J24,($I$26-1)*$Q$3 + $P$3/J24  ),     IF(AND(J24&gt;=$M$4,J24&lt;=$N$4),  IF($I$26&lt;=0, $O$4,    ($I$26-1)*$Q$3 +$P$4),     IF(AND(J24&gt;=$M$5,J24&lt;=$N$5),  IF($I$26&lt;=0, $O$5,    ($I$26-1)*$Q$3 + $P$5),      IF(AND(J24&gt;=$M$6,J24&lt;=$N$6),  IF($I$26&lt;=0, $O$6,    ($I$26-1)*$Q$3 + $P$6),     IF(J24&gt;=$M$7,  IF($I$26&lt;=0, $O$7,    ($I$26-1)*$Q$3 + $P$7)         )))))</f>
        <v>#DIV/0!</v>
      </c>
    </row>
    <row r="25" spans="1:12" ht="13.2">
      <c r="A25" s="260"/>
      <c r="B25" s="269"/>
      <c r="C25" s="155"/>
      <c r="D25" s="155"/>
      <c r="F25" s="269"/>
      <c r="G25" s="269"/>
      <c r="H25" s="269"/>
      <c r="I25" s="269"/>
      <c r="J25" s="6"/>
      <c r="K25" s="157"/>
    </row>
    <row r="26" spans="1:12" ht="13.2">
      <c r="A26" s="260"/>
      <c r="B26" s="158">
        <f ca="1">Kalk!J11</f>
        <v>3.7599999999999998E-4</v>
      </c>
      <c r="C26" s="123"/>
      <c r="D26" s="123"/>
      <c r="E26" s="159"/>
      <c r="F26" s="88">
        <f>IF(Kalk!L12&lt;861,1,0)</f>
        <v>1</v>
      </c>
      <c r="G26" s="154">
        <f ca="1">IF(C23+E23+G23+H23+H26=5,1,IF(C23+E23+G23+H23+H26=15,2,IF((C23+E23+G23+H23+H26=25)*OR(C23+E23+G23+H23+H26=15),2,0)))</f>
        <v>0</v>
      </c>
      <c r="H26" s="154">
        <f>IF(E22&lt;=890,1,IF(E22+((G22-E22)/2)&lt;=1145,1,0))</f>
        <v>1</v>
      </c>
      <c r="I26" s="154">
        <f>Kalk!W11</f>
        <v>0</v>
      </c>
      <c r="J26" s="160"/>
      <c r="K26" s="161"/>
    </row>
    <row r="27" spans="1:12" ht="13.2">
      <c r="A27" s="260"/>
      <c r="B27" s="158">
        <f ca="1">Kalk!J11</f>
        <v>3.7599999999999998E-4</v>
      </c>
      <c r="C27" s="123"/>
      <c r="D27" s="123"/>
      <c r="E27" s="159"/>
      <c r="F27" s="6"/>
      <c r="G27" s="6"/>
      <c r="H27" s="6"/>
      <c r="I27" s="154"/>
      <c r="J27" s="160"/>
      <c r="K27" s="161"/>
    </row>
    <row r="28" spans="1:12" ht="13.2">
      <c r="A28" s="260"/>
      <c r="B28" s="158">
        <f ca="1">Kalk!J11</f>
        <v>3.7599999999999998E-4</v>
      </c>
      <c r="C28" s="123"/>
      <c r="D28" s="123"/>
      <c r="E28" s="159"/>
      <c r="F28" s="6"/>
      <c r="G28" s="6"/>
      <c r="H28" s="6"/>
      <c r="I28" s="6"/>
      <c r="J28" s="166"/>
    </row>
    <row r="29" spans="1:12" ht="13.2">
      <c r="B29" s="158">
        <f ca="1">Kalk!J11</f>
        <v>3.7599999999999998E-4</v>
      </c>
      <c r="C29" s="167"/>
      <c r="D29" s="167"/>
      <c r="E29" s="167"/>
      <c r="F29" s="167"/>
      <c r="G29" s="167"/>
      <c r="H29" s="167"/>
      <c r="I29" s="167"/>
      <c r="J29" s="88" t="s">
        <v>83</v>
      </c>
      <c r="K29" s="110" t="s">
        <v>956</v>
      </c>
    </row>
    <row r="30" spans="1:12" ht="12.9" customHeight="1">
      <c r="A30" s="260">
        <v>4</v>
      </c>
      <c r="B30" s="267" t="s">
        <v>962</v>
      </c>
      <c r="C30" s="147" t="s">
        <v>56</v>
      </c>
      <c r="D30" s="147" t="s">
        <v>57</v>
      </c>
      <c r="E30" s="147" t="s">
        <v>66</v>
      </c>
      <c r="F30" s="268" t="s">
        <v>963</v>
      </c>
      <c r="G30" s="268"/>
      <c r="H30" s="148" t="s">
        <v>964</v>
      </c>
      <c r="I30" s="269" t="s">
        <v>965</v>
      </c>
      <c r="J30" s="88">
        <f>Kalk!AH15</f>
        <v>0</v>
      </c>
      <c r="K30" s="150" t="e">
        <f>IF(AND(J30&gt;=$M$3,J30&lt;=$N$3), IF($I$35&lt;=0, $O$3/J30,($I$35-1)*$Q$3 + $P$3/J30  ),     IF(AND(J30&gt;=$M$4,J30&lt;=$N$4),  IF($I$35&lt;=0, $O$4,    ($I$35-1)*$Q$3 +$P$4),     IF(AND(J30&gt;=$M$5,J30&lt;=$N$5),  IF($I$35&lt;=0, $O$5,    ($I$35-1)*$Q$3 + $P$5),      IF(AND(J30&gt;=$M$6,J30&lt;=$N$6),  IF($I$35&lt;=0, $O$6,    ($I$35-1)*$Q$3 + $P$6),     IF(J30&gt;=$M$7,  IF($I$35&lt;=0, $O$7,    ($I$35-1)*$Q$3 + $P$7)         )))))</f>
        <v>#DIV/0!</v>
      </c>
      <c r="L30" s="180" t="b">
        <f>IF(AND(J30&gt;=M30,J30&lt;=N30),TRUE())</f>
        <v>1</v>
      </c>
    </row>
    <row r="31" spans="1:12" ht="13.2">
      <c r="A31" s="260"/>
      <c r="B31" s="267"/>
      <c r="C31" s="147">
        <f>Kalk!C16</f>
        <v>0</v>
      </c>
      <c r="D31" s="147">
        <f>Kalk!E16</f>
        <v>0</v>
      </c>
      <c r="E31" s="147">
        <f>Kalk!G16</f>
        <v>0</v>
      </c>
      <c r="F31" s="147">
        <f ca="1">Kalk!I16</f>
        <v>47</v>
      </c>
      <c r="G31" s="147">
        <f ca="1">Kalk!I18</f>
        <v>8</v>
      </c>
      <c r="H31" s="147" t="str">
        <f>Kalk!B16</f>
        <v>F0201</v>
      </c>
      <c r="I31" s="269"/>
      <c r="J31" s="88">
        <f>Kalk!AH16</f>
        <v>0</v>
      </c>
      <c r="K31" s="150" t="e">
        <f>IF(AND(J31&gt;=$M$3,J31&lt;=$N$3), IF($I$35&lt;=0, $O$3/J31,($I$35-1)*$Q$3 + $P$3/J31  ),     IF(AND(J31&gt;=$M$4,J31&lt;=$N$4),  IF($I$35&lt;=0, $O$4,    ($I$35-1)*$Q$3 +$P$4),     IF(AND(J31&gt;=$M$5,J31&lt;=$N$5),  IF($I$35&lt;=0, $O$5,    ($I$35-1)*$Q$3 + $P$5),      IF(AND(J31&gt;=$M$6,J31&lt;=$N$6),  IF($I$35&lt;=0, $O$6,    ($I$35-1)*$Q$3 + $P$6),     IF(J31&gt;=$M$7,  IF($I$35&lt;=0, $O$7,    ($I$35-1)*$Q$3 + $P$7)         )))))</f>
        <v>#DIV/0!</v>
      </c>
    </row>
    <row r="32" spans="1:12" ht="13.2">
      <c r="A32" s="260"/>
      <c r="B32" s="153">
        <f ca="1">IF(SUM(C32:H32)+F35+H35=8,1,IF(SUM(C32:H32)+H35=17,2,IF((SUM(C32:H32)+H35=27)*OR(SUM(C32:H32)+H35=17),2,0)))</f>
        <v>0</v>
      </c>
      <c r="C32" s="88">
        <f>IF((C31&gt;=200)*AND(C31&lt;250),11,IF((C31&gt;=250)*AND(C31&lt;=1000),1,0))</f>
        <v>0</v>
      </c>
      <c r="D32" s="88">
        <f ca="1">IF(AND(D31&gt;=200,D31&lt;250,ISOWA!B32=0),11,IF(AND(D31&gt;=250,D31&lt;700),1, 0))</f>
        <v>0</v>
      </c>
      <c r="E32" s="88">
        <v>0</v>
      </c>
      <c r="F32" s="88">
        <f ca="1">IF((F31&gt;=835)*AND(F31&lt;=2900),1,0)</f>
        <v>0</v>
      </c>
      <c r="G32" s="88">
        <f ca="1">IF((G31&gt;=520)*AND(G31&lt;=1320),1,0)</f>
        <v>0</v>
      </c>
      <c r="H32" s="88">
        <f>IF(OR(H31="F0200",H31="F0201",H31="F0202",H31="F0203",H31="F0201-F0203",H31="F0200-F0203",H31="F0501"),1,0)</f>
        <v>1</v>
      </c>
      <c r="I32" s="154">
        <f>Kalk!M30</f>
        <v>0</v>
      </c>
      <c r="J32" s="88">
        <f>Kalk!AH17</f>
        <v>0</v>
      </c>
      <c r="K32" s="150" t="e">
        <f>IF(AND(J32&gt;=$M$3,J32&lt;=$N$3), IF($I$35&lt;=0, $O$3/J32,($I$35-1)*$Q$3 + $P$3/J32  ),     IF(AND(J32&gt;=$M$4,J32&lt;=$N$4),  IF($I$35&lt;=0, $O$4,    ($I$35-1)*$Q$3 +$P$4),     IF(AND(J32&gt;=$M$5,J32&lt;=$N$5),  IF($I$35&lt;=0, $O$5,    ($I$35-1)*$Q$3 + $P$5),      IF(AND(J32&gt;=$M$6,J32&lt;=$N$6),  IF($I$35&lt;=0, $O$6,    ($I$35-1)*$Q$3 + $P$6),     IF(J32&gt;=$M$7,  IF($I$35&lt;=0, $O$7,    ($I$35-1)*$Q$3 + $P$7)         )))))</f>
        <v>#DIV/0!</v>
      </c>
    </row>
    <row r="33" spans="1:12" ht="12.9" customHeight="1">
      <c r="A33" s="260"/>
      <c r="B33" s="269" t="s">
        <v>968</v>
      </c>
      <c r="E33" t="s">
        <v>35</v>
      </c>
      <c r="F33" s="269" t="s">
        <v>1058</v>
      </c>
      <c r="G33" s="269" t="s">
        <v>1059</v>
      </c>
      <c r="H33" s="269" t="s">
        <v>1060</v>
      </c>
      <c r="I33" s="269" t="s">
        <v>971</v>
      </c>
      <c r="J33" s="88">
        <f>Kalk!AH18</f>
        <v>0</v>
      </c>
      <c r="K33" s="150" t="e">
        <f>IF(AND(J33&gt;=$M$3,J33&lt;=$N$3), IF($I$35&lt;=0, $O$3/J33,($I$35-1)*$Q$3 + $P$3/J33  ),     IF(AND(J33&gt;=$M$4,J33&lt;=$N$4),  IF($I$35&lt;=0, $O$4,    ($I$35-1)*$Q$3 +$P$4),     IF(AND(J33&gt;=$M$5,J33&lt;=$N$5),  IF($I$35&lt;=0, $O$5,    ($I$35-1)*$Q$3 + $P$5),      IF(AND(J33&gt;=$M$6,J33&lt;=$N$6),  IF($I$35&lt;=0, $O$6,    ($I$35-1)*$Q$3 + $P$6),     IF(J33&gt;=$M$7,  IF($I$35&lt;=0, $O$7,    ($I$35-1)*$Q$3 + $P$7)         )))))</f>
        <v>#DIV/0!</v>
      </c>
    </row>
    <row r="34" spans="1:12" ht="13.2">
      <c r="A34" s="260"/>
      <c r="B34" s="269"/>
      <c r="C34" s="155"/>
      <c r="D34" s="155"/>
      <c r="F34" s="269"/>
      <c r="G34" s="269"/>
      <c r="H34" s="269"/>
      <c r="I34" s="269"/>
      <c r="J34" s="6"/>
      <c r="K34" s="157"/>
    </row>
    <row r="35" spans="1:12" ht="13.2">
      <c r="A35" s="260"/>
      <c r="B35" s="158">
        <f ca="1">Kalk!J15</f>
        <v>3.7599999999999998E-4</v>
      </c>
      <c r="C35" s="123"/>
      <c r="D35" s="123"/>
      <c r="E35" s="159"/>
      <c r="F35" s="88">
        <f>IF(Kalk!L16&lt;861,1,0)</f>
        <v>1</v>
      </c>
      <c r="G35" s="154">
        <f ca="1">IF(C32+E32+G32+H32+H35=5,1,IF(C32+E32+G32+H32+H35=15,2,IF((C32+E32+G32+H32+H35=25)*OR(C32+E32+G32+H32+H35=15),2,0)))</f>
        <v>0</v>
      </c>
      <c r="H35" s="154">
        <f>IF(E31&lt;=890,1,IF(E31+((G31-E31)/2)&lt;=1145,1,0))</f>
        <v>1</v>
      </c>
      <c r="I35" s="154">
        <f>Kalk!W15</f>
        <v>0</v>
      </c>
      <c r="J35" s="160"/>
      <c r="K35" s="161"/>
    </row>
    <row r="36" spans="1:12" ht="13.2">
      <c r="A36" s="260"/>
      <c r="B36" s="158">
        <f ca="1">Kalk!J15</f>
        <v>3.7599999999999998E-4</v>
      </c>
      <c r="C36" s="123"/>
      <c r="D36" s="123"/>
      <c r="E36" s="159"/>
      <c r="F36" s="6"/>
      <c r="G36" s="6"/>
      <c r="H36" s="6"/>
      <c r="I36" s="154"/>
      <c r="J36" s="160"/>
      <c r="K36" s="161"/>
    </row>
    <row r="37" spans="1:12" ht="13.2">
      <c r="A37" s="260"/>
      <c r="B37" s="158">
        <f ca="1">Kalk!J15</f>
        <v>3.7599999999999998E-4</v>
      </c>
      <c r="C37" s="123"/>
      <c r="D37" s="123"/>
      <c r="E37" s="159"/>
      <c r="F37" s="6"/>
      <c r="G37" s="6"/>
      <c r="H37" s="6"/>
      <c r="I37" s="6"/>
      <c r="J37" s="166"/>
    </row>
    <row r="38" spans="1:12" ht="13.2">
      <c r="B38" s="158">
        <f ca="1">Kalk!J15</f>
        <v>3.7599999999999998E-4</v>
      </c>
      <c r="C38" s="167"/>
      <c r="D38" s="167"/>
      <c r="E38" s="167"/>
      <c r="F38" s="167"/>
      <c r="G38" s="167"/>
      <c r="H38" s="167"/>
      <c r="I38" s="167"/>
      <c r="J38" s="88" t="s">
        <v>83</v>
      </c>
      <c r="K38" s="110" t="s">
        <v>956</v>
      </c>
    </row>
    <row r="39" spans="1:12" ht="12.9" customHeight="1">
      <c r="A39" s="260">
        <v>5</v>
      </c>
      <c r="B39" s="267" t="s">
        <v>962</v>
      </c>
      <c r="C39" s="147" t="s">
        <v>56</v>
      </c>
      <c r="D39" s="147" t="s">
        <v>57</v>
      </c>
      <c r="E39" s="147" t="s">
        <v>66</v>
      </c>
      <c r="F39" s="268" t="s">
        <v>963</v>
      </c>
      <c r="G39" s="268"/>
      <c r="H39" s="148" t="s">
        <v>964</v>
      </c>
      <c r="I39" s="269" t="s">
        <v>965</v>
      </c>
      <c r="J39" s="88">
        <f>Kalk!AH19</f>
        <v>0</v>
      </c>
      <c r="K39" s="150" t="e">
        <f>IF(AND(J39&gt;=$M$3,J39&lt;=$N$3), IF($I$44&lt;=0, $O$3/J39,($I$44-1)*$Q$3 + $P$3/J39  ),     IF(AND(J39&gt;=$M$4,J39&lt;=$N$4),  IF($I$44&lt;=0, $O$4,    ($I$44-1)*$Q$3 +$P$4),     IF(AND(J39&gt;=$M$5,J39&lt;=$N$5),  IF($I$44&lt;=0, $O$5,    ($I$44-1)*$Q$3 + $P$5),      IF(AND(J39&gt;=$M$6,J39&lt;=$N$6),  IF($I$44&lt;=0, $O$6,    ($I$44-1)*$Q$3 + $P$6),     IF(J39&gt;=$M$7,  IF($I$44&lt;=0, $O$7,    ($I$44-1)*$Q$3 + $P$7)         )))))</f>
        <v>#DIV/0!</v>
      </c>
      <c r="L39" s="180" t="b">
        <f>IF(AND(J39&gt;=M39,J39&lt;=N39),TRUE())</f>
        <v>1</v>
      </c>
    </row>
    <row r="40" spans="1:12" ht="13.2">
      <c r="A40" s="260"/>
      <c r="B40" s="267"/>
      <c r="C40" s="147">
        <f>Kalk!C20</f>
        <v>0</v>
      </c>
      <c r="D40" s="147">
        <f>Kalk!E20</f>
        <v>0</v>
      </c>
      <c r="E40" s="147">
        <f>Kalk!G20</f>
        <v>0</v>
      </c>
      <c r="F40" s="147">
        <f ca="1">Kalk!I20</f>
        <v>47</v>
      </c>
      <c r="G40" s="147">
        <f ca="1">Kalk!I22</f>
        <v>8</v>
      </c>
      <c r="H40" s="147" t="str">
        <f>Kalk!B20</f>
        <v>F0201</v>
      </c>
      <c r="I40" s="269"/>
      <c r="J40" s="88">
        <f>Kalk!AH20</f>
        <v>0</v>
      </c>
      <c r="K40" s="150" t="e">
        <f>IF(AND(J40&gt;=$M$3,J40&lt;=$N$3), IF($I$44&lt;=0, $O$3/J40,($I$44-1)*$Q$3 + $P$3/J40  ),     IF(AND(J40&gt;=$M$4,J40&lt;=$N$4),  IF($I$44&lt;=0, $O$4,    ($I$44-1)*$Q$3 +$P$4),     IF(AND(J40&gt;=$M$5,J40&lt;=$N$5),  IF($I$44&lt;=0, $O$5,    ($I$44-1)*$Q$3 + $P$5),      IF(AND(J40&gt;=$M$6,J40&lt;=$N$6),  IF($I$44&lt;=0, $O$6,    ($I$44-1)*$Q$3 + $P$6),     IF(J40&gt;=$M$7,  IF($I$44&lt;=0, $O$7,    ($I$44-1)*$Q$3 + $P$7)         )))))</f>
        <v>#DIV/0!</v>
      </c>
    </row>
    <row r="41" spans="1:12" ht="13.2">
      <c r="A41" s="260"/>
      <c r="B41" s="153">
        <f ca="1">IF(SUM(C41:H41)+F44+H44=8,1,IF(SUM(C41:H41)+H44=17,2,IF((SUM(C41:H41)+H44=27)*OR(SUM(C41:H41)+H44=17),2,0)))</f>
        <v>0</v>
      </c>
      <c r="C41" s="88">
        <f>IF((C40&gt;=200)*AND(C40&lt;250),11,IF((C40&gt;=250)*AND(C40&lt;=1000),1,0))</f>
        <v>0</v>
      </c>
      <c r="D41" s="88">
        <f ca="1">IF(AND(D40&gt;=200,D40&lt;250,ISOWA!B41=0),11,IF(AND(D40&gt;=250,D40&lt;700),1, 0))</f>
        <v>0</v>
      </c>
      <c r="E41" s="88">
        <v>0</v>
      </c>
      <c r="F41" s="88">
        <f ca="1">IF((F40&gt;=835)*AND(F40&lt;=2900),1,0)</f>
        <v>0</v>
      </c>
      <c r="G41" s="88">
        <f ca="1">IF((G40&gt;=520)*AND(G40&lt;=1320),1,0)</f>
        <v>0</v>
      </c>
      <c r="H41" s="88">
        <f>IF(OR(H40="F0200",H40="F0201",H40="F0202",H40="F0203",H40="F0201-F0203",H40="F0200-F0203",H40="F0501"),1,0)</f>
        <v>1</v>
      </c>
      <c r="I41" s="154">
        <f>Kalk!M39</f>
        <v>0</v>
      </c>
      <c r="J41" s="88">
        <f>Kalk!AH21</f>
        <v>0</v>
      </c>
      <c r="K41" s="150" t="e">
        <f>IF(AND(J41&gt;=$M$3,J41&lt;=$N$3), IF($I$44&lt;=0, $O$3/J41,($I$44-1)*$Q$3 + $P$3/J41  ),     IF(AND(J41&gt;=$M$4,J41&lt;=$N$4),  IF($I$44&lt;=0, $O$4,    ($I$44-1)*$Q$3 +$P$4),     IF(AND(J41&gt;=$M$5,J41&lt;=$N$5),  IF($I$44&lt;=0, $O$5,    ($I$44-1)*$Q$3 + $P$5),      IF(AND(J41&gt;=$M$6,J41&lt;=$N$6),  IF($I$44&lt;=0, $O$6,    ($I$44-1)*$Q$3 + $P$6),     IF(J41&gt;=$M$7,  IF($I$44&lt;=0, $O$7,    ($I$44-1)*$Q$3 + $P$7)         )))))</f>
        <v>#DIV/0!</v>
      </c>
    </row>
    <row r="42" spans="1:12" ht="12.9" customHeight="1">
      <c r="A42" s="260"/>
      <c r="B42" s="269" t="s">
        <v>968</v>
      </c>
      <c r="E42" t="s">
        <v>35</v>
      </c>
      <c r="F42" s="269" t="s">
        <v>1058</v>
      </c>
      <c r="G42" s="269" t="s">
        <v>1059</v>
      </c>
      <c r="H42" s="269" t="s">
        <v>1060</v>
      </c>
      <c r="I42" s="269" t="s">
        <v>971</v>
      </c>
      <c r="J42" s="88">
        <f>Kalk!AH22</f>
        <v>0</v>
      </c>
      <c r="K42" s="150" t="e">
        <f>IF(AND(J42&gt;=$M$3,J42&lt;=$N$3), IF($I$44&lt;=0, $O$3/J42,($I$44-1)*$Q$3 + $P$3/J42  ),     IF(AND(J42&gt;=$M$4,J42&lt;=$N$4),  IF($I$44&lt;=0, $O$4,    ($I$44-1)*$Q$3 +$P$4),     IF(AND(J42&gt;=$M$5,J42&lt;=$N$5),  IF($I$44&lt;=0, $O$5,    ($I$44-1)*$Q$3 + $P$5),      IF(AND(J42&gt;=$M$6,J42&lt;=$N$6),  IF($I$44&lt;=0, $O$6,    ($I$44-1)*$Q$3 + $P$6),     IF(J42&gt;=$M$7,  IF($I$44&lt;=0, $O$7,    ($I$44-1)*$Q$3 + $P$7)         )))))</f>
        <v>#DIV/0!</v>
      </c>
    </row>
    <row r="43" spans="1:12" ht="13.2">
      <c r="A43" s="260"/>
      <c r="B43" s="269"/>
      <c r="C43" s="155"/>
      <c r="D43" s="155"/>
      <c r="F43" s="269"/>
      <c r="G43" s="269"/>
      <c r="H43" s="269"/>
      <c r="I43" s="269"/>
      <c r="J43" s="6"/>
      <c r="K43" s="157"/>
    </row>
    <row r="44" spans="1:12" ht="13.2">
      <c r="A44" s="260"/>
      <c r="B44" s="158">
        <f ca="1">Kalk!J19</f>
        <v>3.7599999999999998E-4</v>
      </c>
      <c r="C44" s="123"/>
      <c r="D44" s="123"/>
      <c r="E44" s="159"/>
      <c r="F44" s="88">
        <f>IF(Kalk!L20&lt;861,1,0)</f>
        <v>1</v>
      </c>
      <c r="G44" s="154">
        <f ca="1">IF(C41+E41+G41+H41+H44=5,1,IF(C41+E41+G41+H41+H44=15,2,IF((C41+E41+G41+H41+H44=25)*OR(C41+E41+G41+H41+H44=15),2,0)))</f>
        <v>0</v>
      </c>
      <c r="H44" s="154">
        <f>IF(E40&lt;=890,1,IF(E40+((G40-E40)/2)&lt;=1145,1,0))</f>
        <v>1</v>
      </c>
      <c r="I44" s="154">
        <f>Kalk!W19</f>
        <v>0</v>
      </c>
      <c r="J44" s="160"/>
      <c r="K44" s="161"/>
    </row>
    <row r="45" spans="1:12" ht="13.2">
      <c r="A45" s="260"/>
      <c r="B45" s="158">
        <f ca="1">Kalk!J19</f>
        <v>3.7599999999999998E-4</v>
      </c>
      <c r="C45" s="123"/>
      <c r="D45" s="123"/>
      <c r="E45" s="159"/>
      <c r="F45" s="6"/>
      <c r="G45" s="6"/>
      <c r="H45" s="6"/>
      <c r="I45" s="154"/>
      <c r="J45" s="160"/>
      <c r="K45" s="161"/>
    </row>
    <row r="46" spans="1:12" ht="13.2">
      <c r="A46" s="260"/>
      <c r="B46" s="158">
        <f ca="1">Kalk!J19</f>
        <v>3.7599999999999998E-4</v>
      </c>
      <c r="C46" s="123"/>
      <c r="D46" s="123"/>
      <c r="E46" s="159"/>
      <c r="F46" s="6"/>
      <c r="G46" s="6"/>
      <c r="H46" s="6"/>
      <c r="I46" s="6"/>
      <c r="J46" s="166"/>
    </row>
    <row r="47" spans="1:12" ht="13.2">
      <c r="B47" s="158">
        <f ca="1">Kalk!J19</f>
        <v>3.7599999999999998E-4</v>
      </c>
      <c r="C47" s="167"/>
      <c r="D47" s="167"/>
      <c r="E47" s="167"/>
      <c r="F47" s="167"/>
      <c r="G47" s="167"/>
      <c r="H47" s="167"/>
      <c r="I47" s="167"/>
      <c r="J47" s="88" t="s">
        <v>83</v>
      </c>
      <c r="K47" s="110" t="s">
        <v>956</v>
      </c>
    </row>
    <row r="48" spans="1:12" ht="12.9" customHeight="1">
      <c r="A48" s="260">
        <v>6</v>
      </c>
      <c r="B48" s="267" t="s">
        <v>962</v>
      </c>
      <c r="C48" s="147" t="s">
        <v>56</v>
      </c>
      <c r="D48" s="147" t="s">
        <v>57</v>
      </c>
      <c r="E48" s="147" t="s">
        <v>66</v>
      </c>
      <c r="F48" s="268" t="s">
        <v>963</v>
      </c>
      <c r="G48" s="268"/>
      <c r="H48" s="148" t="s">
        <v>964</v>
      </c>
      <c r="I48" s="269" t="s">
        <v>965</v>
      </c>
      <c r="J48" s="88">
        <f>Kalk!AH23</f>
        <v>0</v>
      </c>
      <c r="K48" s="150" t="e">
        <f>IF(AND(J48&gt;=$M$3,J48&lt;=$N$3), IF($I$53&lt;=0, $O$3/J48,($I$53-1)*$Q$3 + $P$3/J48  ),     IF(AND(J48&gt;=$M$4,J48&lt;=$N$4),  IF($I$53&lt;=0, $O$4,    ($I$53-1)*$Q$3 +$P$4),     IF(AND(J48&gt;=$M$5,J48&lt;=$N$5),  IF($I$53&lt;=0, $O$5,    ($I$53-1)*$Q$3 + $P$5),      IF(AND(J48&gt;=$M$6,J48&lt;=$N$6),  IF($I$53&lt;=0, $O$6,    ($I$53-1)*$Q$3 + $P$6),     IF(J48&gt;=$M$7,  IF($I$53&lt;=0, $O$7,    ($I$53-1)*$Q$3 + $P$7)         )))))</f>
        <v>#DIV/0!</v>
      </c>
      <c r="L48" s="180" t="b">
        <f>IF(AND(J48&gt;=M48,J48&lt;=N48),TRUE())</f>
        <v>1</v>
      </c>
    </row>
    <row r="49" spans="1:12" ht="13.2">
      <c r="A49" s="260"/>
      <c r="B49" s="267"/>
      <c r="C49" s="147">
        <f>Kalk!C24</f>
        <v>0</v>
      </c>
      <c r="D49" s="147">
        <f>Kalk!E24</f>
        <v>0</v>
      </c>
      <c r="E49" s="147">
        <f>Kalk!G24</f>
        <v>0</v>
      </c>
      <c r="F49" s="147">
        <f ca="1">Kalk!I24</f>
        <v>47</v>
      </c>
      <c r="G49" s="147">
        <f ca="1">Kalk!I26</f>
        <v>8</v>
      </c>
      <c r="H49" s="147" t="str">
        <f>Kalk!B24</f>
        <v>F0201</v>
      </c>
      <c r="I49" s="269"/>
      <c r="J49" s="88">
        <f>Kalk!AH24</f>
        <v>0</v>
      </c>
      <c r="K49" s="150" t="e">
        <f>IF(AND(J49&gt;=$M$3,J49&lt;=$N$3), IF($I$53&lt;=0, $O$3/J49,($I$53-1)*$Q$3 + $P$3/J49  ),     IF(AND(J49&gt;=$M$4,J49&lt;=$N$4),  IF($I$53&lt;=0, $O$4,    ($I$53-1)*$Q$3 +$P$4),     IF(AND(J49&gt;=$M$5,J49&lt;=$N$5),  IF($I$53&lt;=0, $O$5,    ($I$53-1)*$Q$3 + $P$5),      IF(AND(J49&gt;=$M$6,J49&lt;=$N$6),  IF($I$53&lt;=0, $O$6,    ($I$53-1)*$Q$3 + $P$6),     IF(J49&gt;=$M$7,  IF($I$53&lt;=0, $O$7,    ($I$53-1)*$Q$3 + $P$7)         )))))</f>
        <v>#DIV/0!</v>
      </c>
    </row>
    <row r="50" spans="1:12" ht="13.2">
      <c r="A50" s="260"/>
      <c r="B50" s="153">
        <f ca="1">IF(SUM(C50:H50)+F53+H53=8,1,IF(SUM(C50:H50)+H53=17,2,IF((SUM(C50:H50)+H53=27)*OR(SUM(C50:H50)+H53=17),2,0)))</f>
        <v>0</v>
      </c>
      <c r="C50" s="88">
        <f>IF((C49&gt;=200)*AND(C49&lt;250),11,IF((C49&gt;=250)*AND(C49&lt;=1000),1,0))</f>
        <v>0</v>
      </c>
      <c r="D50" s="88">
        <f ca="1">IF(AND(D49&gt;=200,D49&lt;250,ISOWA!B50=0),11,IF(AND(D49&gt;=250,D49&lt;700),1, 0))</f>
        <v>0</v>
      </c>
      <c r="E50" s="88">
        <v>0</v>
      </c>
      <c r="F50" s="88">
        <f ca="1">IF((F49&gt;=835)*AND(F49&lt;=2900),1,0)</f>
        <v>0</v>
      </c>
      <c r="G50" s="88">
        <f ca="1">IF((G49&gt;=520)*AND(G49&lt;=1320),1,0)</f>
        <v>0</v>
      </c>
      <c r="H50" s="88">
        <f>IF(OR(H49="F0200",H49="F0201",H49="F0202",H49="F0203",H49="F0201-F0203",H49="F0200-F0203",H49="F0501"),1,0)</f>
        <v>1</v>
      </c>
      <c r="I50" s="154">
        <f>Kalk!M48</f>
        <v>0</v>
      </c>
      <c r="J50" s="88">
        <f>Kalk!AH25</f>
        <v>0</v>
      </c>
      <c r="K50" s="150" t="e">
        <f>IF(AND(J50&gt;=$M$3,J50&lt;=$N$3), IF($I$53&lt;=0, $O$3/J50,($I$53-1)*$Q$3 + $P$3/J50  ),     IF(AND(J50&gt;=$M$4,J50&lt;=$N$4),  IF($I$53&lt;=0, $O$4,    ($I$53-1)*$Q$3 +$P$4),     IF(AND(J50&gt;=$M$5,J50&lt;=$N$5),  IF($I$53&lt;=0, $O$5,    ($I$53-1)*$Q$3 + $P$5),      IF(AND(J50&gt;=$M$6,J50&lt;=$N$6),  IF($I$53&lt;=0, $O$6,    ($I$53-1)*$Q$3 + $P$6),     IF(J50&gt;=$M$7,  IF($I$53&lt;=0, $O$7,    ($I$53-1)*$Q$3 + $P$7)         )))))</f>
        <v>#DIV/0!</v>
      </c>
    </row>
    <row r="51" spans="1:12" ht="12.9" customHeight="1">
      <c r="A51" s="260"/>
      <c r="B51" s="269" t="s">
        <v>968</v>
      </c>
      <c r="E51" t="s">
        <v>35</v>
      </c>
      <c r="F51" s="269" t="s">
        <v>1058</v>
      </c>
      <c r="G51" s="269" t="s">
        <v>1059</v>
      </c>
      <c r="H51" s="269" t="s">
        <v>1060</v>
      </c>
      <c r="I51" s="269" t="s">
        <v>971</v>
      </c>
      <c r="J51" s="88">
        <f>Kalk!AH26</f>
        <v>0</v>
      </c>
      <c r="K51" s="150" t="e">
        <f>IF(AND(J51&gt;=$M$3,J51&lt;=$N$3), IF($I$53&lt;=0, $O$3/J51,($I$53-1)*$Q$3 + $P$3/J51  ),     IF(AND(J51&gt;=$M$4,J51&lt;=$N$4),  IF($I$53&lt;=0, $O$4,    ($I$53-1)*$Q$3 +$P$4),     IF(AND(J51&gt;=$M$5,J51&lt;=$N$5),  IF($I$53&lt;=0, $O$5,    ($I$53-1)*$Q$3 + $P$5),      IF(AND(J51&gt;=$M$6,J51&lt;=$N$6),  IF($I$53&lt;=0, $O$6,    ($I$53-1)*$Q$3 + $P$6),     IF(J51&gt;=$M$7,  IF($I$53&lt;=0, $O$7,    ($I$53-1)*$Q$3 + $P$7)         )))))</f>
        <v>#DIV/0!</v>
      </c>
    </row>
    <row r="52" spans="1:12" ht="13.2">
      <c r="A52" s="260"/>
      <c r="B52" s="269"/>
      <c r="C52" s="155"/>
      <c r="D52" s="155"/>
      <c r="F52" s="269"/>
      <c r="G52" s="269"/>
      <c r="H52" s="269"/>
      <c r="I52" s="269"/>
      <c r="J52" s="6"/>
      <c r="K52" s="157"/>
    </row>
    <row r="53" spans="1:12" ht="13.2">
      <c r="A53" s="260"/>
      <c r="B53" s="158">
        <f ca="1">Kalk!J23</f>
        <v>3.7599999999999998E-4</v>
      </c>
      <c r="C53" s="123"/>
      <c r="D53" s="123"/>
      <c r="E53" s="159"/>
      <c r="F53" s="88">
        <f>IF(Kalk!L24&lt;861,1,0)</f>
        <v>1</v>
      </c>
      <c r="G53" s="154">
        <f ca="1">IF(C50+E50+G50+H50+H53=5,1,IF(C50+E50+G50+H50+H53=15,2,IF((C50+E50+G50+H50+H53=25)*OR(C50+E50+G50+H50+H53=15),2,0)))</f>
        <v>0</v>
      </c>
      <c r="H53" s="154">
        <f>IF(E49&lt;=890,1,IF(E49+((G49-E49)/2)&lt;=1145,1,0))</f>
        <v>1</v>
      </c>
      <c r="I53" s="154">
        <f>Kalk!W23</f>
        <v>0</v>
      </c>
      <c r="J53" s="160"/>
      <c r="K53" s="161"/>
    </row>
    <row r="54" spans="1:12" ht="13.2">
      <c r="A54" s="260"/>
      <c r="B54" s="158">
        <f ca="1">Kalk!J23</f>
        <v>3.7599999999999998E-4</v>
      </c>
      <c r="C54" s="123"/>
      <c r="D54" s="123"/>
      <c r="E54" s="159"/>
      <c r="F54" s="6"/>
      <c r="G54" s="6"/>
      <c r="H54" s="6"/>
      <c r="I54" s="154"/>
      <c r="J54" s="160"/>
      <c r="K54" s="161"/>
    </row>
    <row r="55" spans="1:12" ht="13.2">
      <c r="A55" s="260"/>
      <c r="B55" s="158">
        <f ca="1">Kalk!J23</f>
        <v>3.7599999999999998E-4</v>
      </c>
      <c r="C55" s="123"/>
      <c r="D55" s="123"/>
      <c r="E55" s="159"/>
      <c r="F55" s="6"/>
      <c r="G55" s="6"/>
      <c r="H55" s="6"/>
      <c r="I55" s="6"/>
      <c r="J55" s="166"/>
    </row>
    <row r="56" spans="1:12" ht="13.2">
      <c r="B56" s="158">
        <f ca="1">Kalk!J23</f>
        <v>3.7599999999999998E-4</v>
      </c>
      <c r="C56" s="167"/>
      <c r="D56" s="167"/>
      <c r="E56" s="167"/>
      <c r="F56" s="167"/>
      <c r="G56" s="167"/>
      <c r="H56" s="167"/>
      <c r="I56" s="167"/>
      <c r="J56" s="88" t="s">
        <v>83</v>
      </c>
      <c r="K56" s="110" t="s">
        <v>956</v>
      </c>
    </row>
    <row r="57" spans="1:12" ht="12.9" customHeight="1">
      <c r="A57" s="260">
        <v>7</v>
      </c>
      <c r="B57" s="267" t="s">
        <v>962</v>
      </c>
      <c r="C57" s="147" t="s">
        <v>56</v>
      </c>
      <c r="D57" s="147" t="s">
        <v>57</v>
      </c>
      <c r="E57" s="147" t="s">
        <v>66</v>
      </c>
      <c r="F57" s="268" t="s">
        <v>963</v>
      </c>
      <c r="G57" s="268"/>
      <c r="H57" s="148" t="s">
        <v>964</v>
      </c>
      <c r="I57" s="269" t="s">
        <v>965</v>
      </c>
      <c r="J57" s="88">
        <f>Kalk!AH27</f>
        <v>0</v>
      </c>
      <c r="K57" s="150" t="e">
        <f>IF(AND(J57&gt;=$M$3,J57&lt;=$N$3), IF($I$62&lt;=0, $O$3/J57,($I$62-1)*$Q$3 + $P$3/J57  ),     IF(AND(J57&gt;=$M$4,J57&lt;=$N$4),  IF($I$62&lt;=0, $O$4,    ($I$62-1)*$Q$3 +$P$4),     IF(AND(J57&gt;=$M$5,J57&lt;=$N$5),  IF($I$62&lt;=0, $O$5,    ($I$62-1)*$Q$3 + $P$5),      IF(AND(J57&gt;=$M$6,J57&lt;=$N$6),  IF($I$62&lt;=0, $O$6,    ($I$62-1)*$Q$3 + $P$6),     IF(J57&gt;=$M$7,  IF($I$62&lt;=0, $O$7,    ($I$62-1)*$Q$3 + $P$7)         )))))</f>
        <v>#DIV/0!</v>
      </c>
      <c r="L57" s="180" t="b">
        <f>IF(AND(J57&gt;=M57,J57&lt;=N57),TRUE())</f>
        <v>1</v>
      </c>
    </row>
    <row r="58" spans="1:12" ht="13.2">
      <c r="A58" s="260"/>
      <c r="B58" s="267"/>
      <c r="C58" s="147">
        <f>Kalk!C28</f>
        <v>0</v>
      </c>
      <c r="D58" s="147">
        <f>Kalk!E28</f>
        <v>0</v>
      </c>
      <c r="E58" s="147">
        <f>Kalk!G28</f>
        <v>0</v>
      </c>
      <c r="F58" s="147">
        <f ca="1">Kalk!I28</f>
        <v>47</v>
      </c>
      <c r="G58" s="147">
        <f ca="1">Kalk!I30</f>
        <v>8</v>
      </c>
      <c r="H58" s="147" t="str">
        <f>Kalk!B28</f>
        <v>F0201</v>
      </c>
      <c r="I58" s="269"/>
      <c r="J58" s="88">
        <f>Kalk!AH28</f>
        <v>0</v>
      </c>
      <c r="K58" s="150" t="e">
        <f>IF(AND(J58&gt;=$M$3,J58&lt;=$N$3), IF($I$62&lt;=0, $O$3/J58,($I$62-1)*$Q$3 + $P$3/J58  ),     IF(AND(J58&gt;=$M$4,J58&lt;=$N$4),  IF($I$62&lt;=0, $O$4,    ($I$62-1)*$Q$3 +$P$4),     IF(AND(J58&gt;=$M$5,J58&lt;=$N$5),  IF($I$62&lt;=0, $O$5,    ($I$62-1)*$Q$3 + $P$5),      IF(AND(J58&gt;=$M$6,J58&lt;=$N$6),  IF($I$62&lt;=0, $O$6,    ($I$62-1)*$Q$3 + $P$6),     IF(J58&gt;=$M$7,  IF($I$62&lt;=0, $O$7,    ($I$62-1)*$Q$3 + $P$7)         )))))</f>
        <v>#DIV/0!</v>
      </c>
    </row>
    <row r="59" spans="1:12" ht="13.2">
      <c r="A59" s="260"/>
      <c r="B59" s="153">
        <f ca="1">IF(SUM(C59:H59)+F62+H62=8,1,IF(SUM(C59:H59)+H62=17,2,IF((SUM(C59:H59)+H62=27)*OR(SUM(C59:H59)+H62=17),2,0)))</f>
        <v>0</v>
      </c>
      <c r="C59" s="88">
        <f>IF((C58&gt;=200)*AND(C58&lt;250),11,IF((C58&gt;=250)*AND(C58&lt;=1000),1,0))</f>
        <v>0</v>
      </c>
      <c r="D59" s="88">
        <f ca="1">IF(AND(D58&gt;=200,D58&lt;250,ISOWA!B59=0),11,IF(AND(D58&gt;=250,D58&lt;700),1, 0))</f>
        <v>0</v>
      </c>
      <c r="E59" s="88">
        <v>0</v>
      </c>
      <c r="F59" s="88">
        <f ca="1">IF((F58&gt;=835)*AND(F58&lt;=2900),1,0)</f>
        <v>0</v>
      </c>
      <c r="G59" s="88">
        <f ca="1">IF((G58&gt;=520)*AND(G58&lt;=1320),1,0)</f>
        <v>0</v>
      </c>
      <c r="H59" s="88">
        <f>IF(OR(H58="F0200",H58="F0201",H58="F0202",H58="F0203",H58="F0201-F0203",H58="F0200-F0203",H58="F0501"),1,0)</f>
        <v>1</v>
      </c>
      <c r="I59" s="154">
        <f>Kalk!M57</f>
        <v>0</v>
      </c>
      <c r="J59" s="88">
        <f>Kalk!AH29</f>
        <v>0</v>
      </c>
      <c r="K59" s="150" t="e">
        <f>IF(AND(J59&gt;=$M$3,J59&lt;=$N$3), IF($I$62&lt;=0, $O$3/J59,($I$62-1)*$Q$3 + $P$3/J59  ),     IF(AND(J59&gt;=$M$4,J59&lt;=$N$4),  IF($I$62&lt;=0, $O$4,    ($I$62-1)*$Q$3 +$P$4),     IF(AND(J59&gt;=$M$5,J59&lt;=$N$5),  IF($I$62&lt;=0, $O$5,    ($I$62-1)*$Q$3 + $P$5),      IF(AND(J59&gt;=$M$6,J59&lt;=$N$6),  IF($I$62&lt;=0, $O$6,    ($I$62-1)*$Q$3 + $P$6),     IF(J59&gt;=$M$7,  IF($I$62&lt;=0, $O$7,    ($I$62-1)*$Q$3 + $P$7)         )))))</f>
        <v>#DIV/0!</v>
      </c>
    </row>
    <row r="60" spans="1:12" ht="12.9" customHeight="1">
      <c r="A60" s="260"/>
      <c r="B60" s="269" t="s">
        <v>968</v>
      </c>
      <c r="E60" t="s">
        <v>35</v>
      </c>
      <c r="F60" s="269" t="s">
        <v>1058</v>
      </c>
      <c r="G60" s="269" t="s">
        <v>1059</v>
      </c>
      <c r="H60" s="269" t="s">
        <v>1060</v>
      </c>
      <c r="I60" s="269" t="s">
        <v>971</v>
      </c>
      <c r="J60" s="88">
        <f>Kalk!AH30</f>
        <v>0</v>
      </c>
      <c r="K60" s="150" t="e">
        <f>IF(AND(J60&gt;=$M$3,J60&lt;=$N$3), IF($I$62&lt;=0, $O$3/J60,($I$62-1)*$Q$3 + $P$3/J60  ),     IF(AND(J60&gt;=$M$4,J60&lt;=$N$4),  IF($I$62&lt;=0, $O$4,    ($I$62-1)*$Q$3 +$P$4),     IF(AND(J60&gt;=$M$5,J60&lt;=$N$5),  IF($I$62&lt;=0, $O$5,    ($I$62-1)*$Q$3 + $P$5),      IF(AND(J60&gt;=$M$6,J60&lt;=$N$6),  IF($I$62&lt;=0, $O$6,    ($I$62-1)*$Q$3 + $P$6),     IF(J60&gt;=$M$7,  IF($I$62&lt;=0, $O$7,    ($I$62-1)*$Q$3 + $P$7)         )))))</f>
        <v>#DIV/0!</v>
      </c>
    </row>
    <row r="61" spans="1:12" ht="13.2">
      <c r="A61" s="260"/>
      <c r="B61" s="269"/>
      <c r="C61" s="155"/>
      <c r="D61" s="155"/>
      <c r="F61" s="269"/>
      <c r="G61" s="269"/>
      <c r="H61" s="269"/>
      <c r="I61" s="269"/>
      <c r="J61" s="6"/>
      <c r="K61" s="157"/>
    </row>
    <row r="62" spans="1:12" ht="13.2">
      <c r="A62" s="260"/>
      <c r="B62" s="158">
        <f ca="1">Kalk!J27</f>
        <v>3.7599999999999998E-4</v>
      </c>
      <c r="C62" s="123"/>
      <c r="D62" s="123"/>
      <c r="E62" s="159"/>
      <c r="F62" s="88">
        <f>IF(Kalk!L28&lt;861,1,0)</f>
        <v>1</v>
      </c>
      <c r="G62" s="154">
        <f ca="1">IF(C59+E59+G59+H59+H62=5,1,IF(C59+E59+G59+H59+H62=15,2,IF((C59+E59+G59+H59+H62=25)*OR(C59+E59+G59+H59+H62=15),2,0)))</f>
        <v>0</v>
      </c>
      <c r="H62" s="154">
        <f>IF(E58&lt;=890,1,IF(E58+((G58-E58)/2)&lt;=1145,1,0))</f>
        <v>1</v>
      </c>
      <c r="I62" s="154">
        <f>Kalk!W27</f>
        <v>0</v>
      </c>
      <c r="J62" s="160"/>
      <c r="K62" s="161"/>
    </row>
    <row r="63" spans="1:12" ht="13.2">
      <c r="A63" s="260"/>
      <c r="B63" s="158">
        <f ca="1">Kalk!J27</f>
        <v>3.7599999999999998E-4</v>
      </c>
      <c r="C63" s="123"/>
      <c r="D63" s="123"/>
      <c r="E63" s="159"/>
      <c r="F63" s="6"/>
      <c r="G63" s="6"/>
      <c r="H63" s="6"/>
      <c r="I63" s="154"/>
      <c r="J63" s="160"/>
      <c r="K63" s="161"/>
    </row>
    <row r="64" spans="1:12" ht="13.2">
      <c r="A64" s="260"/>
      <c r="B64" s="158">
        <f ca="1">Kalk!J27</f>
        <v>3.7599999999999998E-4</v>
      </c>
      <c r="C64" s="123"/>
      <c r="D64" s="123"/>
      <c r="E64" s="168"/>
      <c r="F64" s="166"/>
      <c r="G64" s="166"/>
      <c r="H64" s="166"/>
      <c r="I64" s="169"/>
      <c r="J64" s="166"/>
    </row>
    <row r="65" spans="1:12" ht="13.2">
      <c r="B65" s="158">
        <f ca="1">Kalk!J27</f>
        <v>3.7599999999999998E-4</v>
      </c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</row>
    <row r="66" spans="1:12" ht="12.9" customHeight="1">
      <c r="A66" s="260">
        <v>8</v>
      </c>
      <c r="B66" s="267" t="s">
        <v>962</v>
      </c>
      <c r="C66" s="147" t="s">
        <v>56</v>
      </c>
      <c r="D66" s="147" t="s">
        <v>57</v>
      </c>
      <c r="E66" s="147" t="s">
        <v>66</v>
      </c>
      <c r="F66" s="268" t="s">
        <v>963</v>
      </c>
      <c r="G66" s="268"/>
      <c r="H66" s="148" t="s">
        <v>964</v>
      </c>
      <c r="I66" s="269" t="s">
        <v>965</v>
      </c>
      <c r="J66" s="88">
        <f>Kalk!AH31</f>
        <v>0</v>
      </c>
      <c r="K66" s="150" t="e">
        <f>IF(AND(J66&gt;=$M$3,J66&lt;=$N$3), IF($I$71&lt;=0, $O$3/J66,($I$71-1)*$Q$3 + $P$3/J66  ),     IF(AND(J66&gt;=$M$4,J66&lt;=$N$4),  IF($I$71&lt;=0, $O$4,    ($I$71-1)*$Q$3 +$P$4),     IF(AND(J66&gt;=$M$5,J66&lt;=$N$5),  IF($I$71&lt;=0, $O$5,    ($I$71-1)*$Q$3 + $P$5),      IF(AND(J66&gt;=$M$6,J66&lt;=$N$6),  IF($I$71&lt;=0, $O$6,    ($I$71-1)*$Q$3 + $P$6),     IF(J66&gt;=$M$7,  IF($I$71&lt;=0, $O$7,    ($I$71-1)*$Q$3 + $P$7)         )))))</f>
        <v>#DIV/0!</v>
      </c>
      <c r="L66" s="180" t="b">
        <f>IF(AND(J66&gt;=M66,J66&lt;=N66),TRUE())</f>
        <v>1</v>
      </c>
    </row>
    <row r="67" spans="1:12" ht="13.2">
      <c r="A67" s="260"/>
      <c r="B67" s="267"/>
      <c r="C67" s="147">
        <f>Kalk!C32</f>
        <v>0</v>
      </c>
      <c r="D67" s="147">
        <f>Kalk!E32</f>
        <v>0</v>
      </c>
      <c r="E67" s="147">
        <f>Kalk!G32</f>
        <v>0</v>
      </c>
      <c r="F67" s="147">
        <f ca="1">Kalk!I32</f>
        <v>47</v>
      </c>
      <c r="G67" s="147">
        <f ca="1">Kalk!I34</f>
        <v>8</v>
      </c>
      <c r="H67" s="147" t="str">
        <f>Kalk!B32</f>
        <v>F0201</v>
      </c>
      <c r="I67" s="269"/>
      <c r="J67" s="88">
        <f>Kalk!AH32</f>
        <v>0</v>
      </c>
      <c r="K67" s="150" t="e">
        <f>IF(AND(J67&gt;=$M$3,J67&lt;=$N$3), IF($I$71&lt;=0, $O$3/J67,($I$71-1)*$Q$3 + $P$3/J67  ),     IF(AND(J67&gt;=$M$4,J67&lt;=$N$4),  IF($I$71&lt;=0, $O$4,    ($I$71-1)*$Q$3 +$P$4),     IF(AND(J67&gt;=$M$5,J67&lt;=$N$5),  IF($I$71&lt;=0, $O$5,    ($I$71-1)*$Q$3 + $P$5),      IF(AND(J67&gt;=$M$6,J67&lt;=$N$6),  IF($I$71&lt;=0, $O$6,    ($I$71-1)*$Q$3 + $P$6),     IF(J67&gt;=$M$7,  IF($I$71&lt;=0, $O$7,    ($I$71-1)*$Q$3 + $P$7)         )))))</f>
        <v>#DIV/0!</v>
      </c>
    </row>
    <row r="68" spans="1:12" ht="13.2">
      <c r="A68" s="260"/>
      <c r="B68" s="153">
        <f ca="1">IF(SUM(C68:H68)+F71+H71=8,1,IF(SUM(C68:H68)+H71=17,2,IF((SUM(C68:H68)+H71=27)*OR(SUM(C68:H68)+H71=17),2,0)))</f>
        <v>0</v>
      </c>
      <c r="C68" s="88">
        <f>IF((C67&gt;=200)*AND(C67&lt;250),11,IF((C67&gt;=250)*AND(C67&lt;=1000),1,0))</f>
        <v>0</v>
      </c>
      <c r="D68" s="88">
        <f>IF(AND(D67&gt;=200,D67&lt;250,ISOWA!B68=0),11,IF(AND(D67&gt;=250,D67&lt;700),1, 0))</f>
        <v>0</v>
      </c>
      <c r="E68" s="88">
        <v>0</v>
      </c>
      <c r="F68" s="88">
        <f ca="1">IF((F67&gt;=835)*AND(F67&lt;=2900),1,0)</f>
        <v>0</v>
      </c>
      <c r="G68" s="88">
        <f ca="1">IF((G67&gt;=520)*AND(G67&lt;=1320),1,0)</f>
        <v>0</v>
      </c>
      <c r="H68" s="88">
        <f>IF(OR(H67="F0200",H67="F0201",H67="F0202",H67="F0203",H67="F0201-F0203",H67="F0200-F0203",H67="F0501"),1,0)</f>
        <v>1</v>
      </c>
      <c r="I68" s="154">
        <f>Kalk!M66</f>
        <v>0</v>
      </c>
      <c r="J68" s="88">
        <f>Kalk!AH33</f>
        <v>0</v>
      </c>
      <c r="K68" s="150" t="e">
        <f>IF(AND(J68&gt;=$M$3,J68&lt;=$N$3), IF($I$71&lt;=0, $O$3/J68,($I$71-1)*$Q$3 + $P$3/J68  ),     IF(AND(J68&gt;=$M$4,J68&lt;=$N$4),  IF($I$71&lt;=0, $O$4,    ($I$71-1)*$Q$3 +$P$4),     IF(AND(J68&gt;=$M$5,J68&lt;=$N$5),  IF($I$71&lt;=0, $O$5,    ($I$71-1)*$Q$3 + $P$5),      IF(AND(J68&gt;=$M$6,J68&lt;=$N$6),  IF($I$71&lt;=0, $O$6,    ($I$71-1)*$Q$3 + $P$6),     IF(J68&gt;=$M$7,  IF($I$71&lt;=0, $O$7,    ($I$71-1)*$Q$3 + $P$7)         )))))</f>
        <v>#DIV/0!</v>
      </c>
    </row>
    <row r="69" spans="1:12" ht="12.9" customHeight="1">
      <c r="A69" s="260"/>
      <c r="B69" s="269" t="s">
        <v>968</v>
      </c>
      <c r="E69" t="s">
        <v>35</v>
      </c>
      <c r="F69" s="269" t="s">
        <v>1058</v>
      </c>
      <c r="G69" s="269" t="s">
        <v>1059</v>
      </c>
      <c r="H69" s="269" t="s">
        <v>1060</v>
      </c>
      <c r="I69" s="269" t="s">
        <v>971</v>
      </c>
      <c r="J69" s="88">
        <f>Kalk!AH34</f>
        <v>0</v>
      </c>
      <c r="K69" s="150" t="e">
        <f>IF(AND(J69&gt;=$M$3,J69&lt;=$N$3), IF($I$71&lt;=0, $O$3/J69,($I$71-1)*$Q$3 + $P$3/J69  ),     IF(AND(J69&gt;=$M$4,J69&lt;=$N$4),  IF($I$71&lt;=0, $O$4,    ($I$71-1)*$Q$3 +$P$4),     IF(AND(J69&gt;=$M$5,J69&lt;=$N$5),  IF($I$71&lt;=0, $O$5,    ($I$71-1)*$Q$3 + $P$5),      IF(AND(J69&gt;=$M$6,J69&lt;=$N$6),  IF($I$71&lt;=0, $O$6,    ($I$71-1)*$Q$3 + $P$6),     IF(J69&gt;=$M$7,  IF($I$71&lt;=0, $O$7,    ($I$71-1)*$Q$3 + $P$7)         )))))</f>
        <v>#DIV/0!</v>
      </c>
    </row>
    <row r="70" spans="1:12" ht="13.2">
      <c r="A70" s="260"/>
      <c r="B70" s="269"/>
      <c r="C70" s="155"/>
      <c r="D70" s="155"/>
      <c r="F70" s="269"/>
      <c r="G70" s="269"/>
      <c r="H70" s="269"/>
      <c r="I70" s="269"/>
      <c r="J70" s="6"/>
      <c r="K70" s="157"/>
    </row>
    <row r="71" spans="1:12" ht="13.2">
      <c r="A71" s="260"/>
      <c r="B71" s="158">
        <f ca="1">Kalk!J31</f>
        <v>3.7599999999999998E-4</v>
      </c>
      <c r="C71" s="123"/>
      <c r="D71" s="123"/>
      <c r="E71" s="159"/>
      <c r="F71" s="88">
        <f>IF(Kalk!L32&lt;861,1,0)</f>
        <v>1</v>
      </c>
      <c r="G71" s="154">
        <f ca="1">IF(C68+E68+G68+H68+H71=5,1,IF(C68+E68+G68+H68+H71=15,2,IF((C68+E68+G68+H68+H71=25)*OR(C68+E68+G68+H68+H71=15),2,0)))</f>
        <v>0</v>
      </c>
      <c r="H71" s="154">
        <f>IF(E67&lt;=890,1,IF(E67+((G67-E67)/2)&lt;=1145,1,0))</f>
        <v>1</v>
      </c>
      <c r="I71" s="154">
        <f>Kalk!W31</f>
        <v>0</v>
      </c>
      <c r="J71" s="160"/>
      <c r="K71" s="161"/>
    </row>
    <row r="72" spans="1:12" ht="13.2">
      <c r="A72" s="260"/>
      <c r="B72" s="158">
        <f ca="1">Kalk!J31</f>
        <v>3.7599999999999998E-4</v>
      </c>
      <c r="C72" s="123"/>
      <c r="D72" s="123"/>
      <c r="E72" s="159"/>
      <c r="F72" s="6"/>
      <c r="G72" s="6"/>
      <c r="H72" s="6"/>
      <c r="I72" s="154"/>
      <c r="J72" s="160"/>
      <c r="K72" s="161"/>
    </row>
    <row r="73" spans="1:12" ht="13.2">
      <c r="A73" s="260"/>
      <c r="B73" s="158">
        <f ca="1">Kalk!J31</f>
        <v>3.7599999999999998E-4</v>
      </c>
      <c r="C73" s="123"/>
      <c r="D73" s="123"/>
      <c r="E73" s="168"/>
      <c r="F73" s="166"/>
      <c r="G73" s="166"/>
      <c r="H73" s="166"/>
      <c r="I73" s="169"/>
      <c r="J73" s="166"/>
    </row>
    <row r="74" spans="1:12" ht="13.2">
      <c r="B74" s="158">
        <f ca="1">Kalk!J31</f>
        <v>3.7599999999999998E-4</v>
      </c>
      <c r="C74" s="167"/>
      <c r="D74" s="167"/>
      <c r="E74" s="167"/>
      <c r="F74" s="167"/>
      <c r="G74" s="167"/>
      <c r="H74" s="167"/>
      <c r="I74" s="167"/>
      <c r="J74" s="88" t="s">
        <v>83</v>
      </c>
      <c r="K74" s="110" t="s">
        <v>956</v>
      </c>
    </row>
    <row r="75" spans="1:12" ht="12.9" customHeight="1">
      <c r="A75" s="260">
        <v>9</v>
      </c>
      <c r="B75" s="267" t="s">
        <v>962</v>
      </c>
      <c r="C75" s="147" t="s">
        <v>56</v>
      </c>
      <c r="D75" s="147" t="s">
        <v>57</v>
      </c>
      <c r="E75" s="147" t="s">
        <v>66</v>
      </c>
      <c r="F75" s="268" t="s">
        <v>963</v>
      </c>
      <c r="G75" s="268"/>
      <c r="H75" s="148" t="s">
        <v>964</v>
      </c>
      <c r="I75" s="269" t="s">
        <v>965</v>
      </c>
      <c r="J75" s="88">
        <f>Kalk!AH35</f>
        <v>0</v>
      </c>
      <c r="K75" s="150" t="e">
        <f>IF(AND(J75&gt;=$M$3,J75&lt;=$N$3), IF($I$80&lt;=0, $O$3/J75,($I$80-1)*$Q$3 + $P$3/J75  ),     IF(AND(J75&gt;=$M$4,J75&lt;=$N$4),  IF($I$80&lt;=0, $O$4,    ($I$80-1)*$Q$3 +$P$4),     IF(AND(J75&gt;=$M$5,J75&lt;=$N$5),  IF($I$80&lt;=0, $O$5,    ($I$80-1)*$Q$3 + $P$5),      IF(AND(J75&gt;=$M$6,J75&lt;=$N$6),  IF($I$80&lt;=0, $O$6,    ($I$80-1)*$Q$3 + $P$6),     IF(J75&gt;=$M$7,  IF($I$80&lt;=0, $O$7,    ($I$80-1)*$Q$3 + $P$7)         )))))</f>
        <v>#DIV/0!</v>
      </c>
      <c r="L75" s="180" t="b">
        <f>IF(AND(J75&gt;=M75,J75&lt;=N75),TRUE())</f>
        <v>1</v>
      </c>
    </row>
    <row r="76" spans="1:12" ht="13.2">
      <c r="A76" s="260"/>
      <c r="B76" s="267"/>
      <c r="C76" s="147">
        <f>Kalk!C36</f>
        <v>0</v>
      </c>
      <c r="D76" s="147">
        <f>Kalk!E36</f>
        <v>0</v>
      </c>
      <c r="E76" s="147">
        <f>Kalk!G36</f>
        <v>0</v>
      </c>
      <c r="F76" s="147">
        <f ca="1">Kalk!I36</f>
        <v>47</v>
      </c>
      <c r="G76" s="147">
        <f ca="1">Kalk!I38</f>
        <v>8</v>
      </c>
      <c r="H76" s="147" t="str">
        <f>Kalk!B36</f>
        <v>F0201</v>
      </c>
      <c r="I76" s="269"/>
      <c r="J76" s="88">
        <f>Kalk!AH36</f>
        <v>0</v>
      </c>
      <c r="K76" s="150" t="e">
        <f>IF(AND(J76&gt;=$M$3,J76&lt;=$N$3), IF($I$80&lt;=0, $O$3/J76,($I$80-1)*$Q$3 + $P$3/J76  ),     IF(AND(J76&gt;=$M$4,J76&lt;=$N$4),  IF($I$80&lt;=0, $O$4,    ($I$80-1)*$Q$3 +$P$4),     IF(AND(J76&gt;=$M$5,J76&lt;=$N$5),  IF($I$80&lt;=0, $O$5,    ($I$80-1)*$Q$3 + $P$5),      IF(AND(J76&gt;=$M$6,J76&lt;=$N$6),  IF($I$80&lt;=0, $O$6,    ($I$80-1)*$Q$3 + $P$6),     IF(J76&gt;=$M$7,  IF($I$80&lt;=0, $O$7,    ($I$80-1)*$Q$3 + $P$7)         )))))</f>
        <v>#DIV/0!</v>
      </c>
    </row>
    <row r="77" spans="1:12" ht="13.2">
      <c r="A77" s="260"/>
      <c r="B77" s="153">
        <f ca="1">IF(SUM(C77:H77)+F80+H80=8,1,IF(SUM(C77:H77)+H80=17,2,IF((SUM(C77:H77)+H80=27)*OR(SUM(C77:H77)+H80=17),2,0)))</f>
        <v>0</v>
      </c>
      <c r="C77" s="88">
        <f>IF((C76&gt;=200)*AND(C76&lt;250),11,IF((C76&gt;=250)*AND(C76&lt;=1000),1,0))</f>
        <v>0</v>
      </c>
      <c r="D77" s="88">
        <f>IF(AND(D76&gt;=200,D76&lt;250,ISOWA!B77=0),11,IF(AND(D76&gt;=250,D76&lt;700),1, 0))</f>
        <v>0</v>
      </c>
      <c r="E77" s="88">
        <v>0</v>
      </c>
      <c r="F77" s="88">
        <f ca="1">IF((F76&gt;=835)*AND(F76&lt;=2900),1,0)</f>
        <v>0</v>
      </c>
      <c r="G77" s="88">
        <f ca="1">IF((G76&gt;=520)*AND(G76&lt;=1320),1,0)</f>
        <v>0</v>
      </c>
      <c r="H77" s="88">
        <f>IF(OR(H76="F0200",H76="F0201",H76="F0202",H76="F0203",H76="F0201-F0203",H76="F0200-F0203",H76="F0501"),1,0)</f>
        <v>1</v>
      </c>
      <c r="I77" s="154">
        <f>Kalk!M75</f>
        <v>0</v>
      </c>
      <c r="J77" s="88">
        <f>Kalk!AH37</f>
        <v>0</v>
      </c>
      <c r="K77" s="150" t="e">
        <f>IF(AND(J77&gt;=$M$3,J77&lt;=$N$3), IF($I$80&lt;=0, $O$3/J77,($I$80-1)*$Q$3 + $P$3/J77  ),     IF(AND(J77&gt;=$M$4,J77&lt;=$N$4),  IF($I$80&lt;=0, $O$4,    ($I$80-1)*$Q$3 +$P$4),     IF(AND(J77&gt;=$M$5,J77&lt;=$N$5),  IF($I$80&lt;=0, $O$5,    ($I$80-1)*$Q$3 + $P$5),      IF(AND(J77&gt;=$M$6,J77&lt;=$N$6),  IF($I$80&lt;=0, $O$6,    ($I$80-1)*$Q$3 + $P$6),     IF(J77&gt;=$M$7,  IF($I$80&lt;=0, $O$7,    ($I$80-1)*$Q$3 + $P$7)         )))))</f>
        <v>#DIV/0!</v>
      </c>
    </row>
    <row r="78" spans="1:12" ht="12.9" customHeight="1">
      <c r="A78" s="260"/>
      <c r="B78" s="269" t="s">
        <v>968</v>
      </c>
      <c r="E78" t="s">
        <v>35</v>
      </c>
      <c r="F78" s="269" t="s">
        <v>1058</v>
      </c>
      <c r="G78" s="269" t="s">
        <v>1059</v>
      </c>
      <c r="H78" s="269" t="s">
        <v>1060</v>
      </c>
      <c r="I78" s="269" t="s">
        <v>971</v>
      </c>
      <c r="J78" s="88">
        <f>Kalk!AH38</f>
        <v>0</v>
      </c>
      <c r="K78" s="150" t="e">
        <f>IF(AND(J78&gt;=$M$3,J78&lt;=$N$3), IF($I$80&lt;=0, $O$3/J78,($I$80-1)*$Q$3 + $P$3/J78  ),     IF(AND(J78&gt;=$M$4,J78&lt;=$N$4),  IF($I$80&lt;=0, $O$4,    ($I$80-1)*$Q$3 +$P$4),     IF(AND(J78&gt;=$M$5,J78&lt;=$N$5),  IF($I$80&lt;=0, $O$5,    ($I$80-1)*$Q$3 + $P$5),      IF(AND(J78&gt;=$M$6,J78&lt;=$N$6),  IF($I$80&lt;=0, $O$6,    ($I$80-1)*$Q$3 + $P$6),     IF(J78&gt;=$M$7,  IF($I$80&lt;=0, $O$7,    ($I$80-1)*$Q$3 + $P$7)         )))))</f>
        <v>#DIV/0!</v>
      </c>
    </row>
    <row r="79" spans="1:12" ht="13.2">
      <c r="A79" s="260"/>
      <c r="B79" s="269"/>
      <c r="C79" s="155"/>
      <c r="D79" s="155"/>
      <c r="F79" s="269"/>
      <c r="G79" s="269"/>
      <c r="H79" s="269"/>
      <c r="I79" s="269"/>
      <c r="J79" s="6"/>
      <c r="K79" s="157"/>
    </row>
    <row r="80" spans="1:12" ht="13.2">
      <c r="A80" s="260"/>
      <c r="B80" s="158">
        <f ca="1">Kalk!J35</f>
        <v>3.7599999999999998E-4</v>
      </c>
      <c r="C80" s="123"/>
      <c r="D80" s="123"/>
      <c r="E80" s="159"/>
      <c r="F80" s="88">
        <f>IF(Kalk!L36&lt;861,1,0)</f>
        <v>1</v>
      </c>
      <c r="G80" s="154">
        <f ca="1">IF(C77+E77+G77+H77+H80=5,1,IF(C77+E77+G77+H77+H80=15,2,IF((C77+E77+G77+H77+H80=25)*OR(C77+E77+G77+H77+H80=15),2,0)))</f>
        <v>0</v>
      </c>
      <c r="H80" s="154">
        <f>IF(E76&lt;=890,1,IF(E76+((G76-E76)/2)&lt;=1145,1,0))</f>
        <v>1</v>
      </c>
      <c r="I80" s="154">
        <f>Kalk!W35</f>
        <v>0</v>
      </c>
      <c r="J80" s="160"/>
      <c r="K80" s="161"/>
    </row>
    <row r="81" spans="1:12" ht="13.2">
      <c r="A81" s="260"/>
      <c r="B81" s="158">
        <f ca="1">Kalk!J35</f>
        <v>3.7599999999999998E-4</v>
      </c>
      <c r="C81" s="123"/>
      <c r="D81" s="123"/>
      <c r="E81" s="159"/>
      <c r="F81" s="6"/>
      <c r="G81" s="6"/>
      <c r="H81" s="6"/>
      <c r="I81" s="154"/>
      <c r="J81" s="160"/>
      <c r="K81" s="161"/>
    </row>
    <row r="82" spans="1:12" ht="13.2">
      <c r="A82" s="260"/>
      <c r="B82" s="158">
        <f ca="1">Kalk!J35</f>
        <v>3.7599999999999998E-4</v>
      </c>
      <c r="C82" s="123"/>
      <c r="D82" s="123"/>
      <c r="E82" s="168"/>
      <c r="F82" s="166"/>
      <c r="G82" s="166"/>
      <c r="H82" s="166"/>
      <c r="I82" s="169"/>
      <c r="J82" s="166"/>
    </row>
    <row r="83" spans="1:12" ht="13.2">
      <c r="B83" s="158">
        <f ca="1">Kalk!J35</f>
        <v>3.7599999999999998E-4</v>
      </c>
      <c r="C83" s="167"/>
      <c r="D83" s="167"/>
      <c r="E83" s="167"/>
      <c r="F83" s="167"/>
      <c r="G83" s="167"/>
      <c r="H83" s="167"/>
      <c r="I83" s="167"/>
      <c r="J83" s="88" t="s">
        <v>83</v>
      </c>
      <c r="K83" s="110" t="s">
        <v>956</v>
      </c>
    </row>
    <row r="84" spans="1:12" ht="12.9" customHeight="1">
      <c r="A84" s="260">
        <v>10</v>
      </c>
      <c r="B84" s="267" t="s">
        <v>962</v>
      </c>
      <c r="C84" s="147" t="s">
        <v>56</v>
      </c>
      <c r="D84" s="147" t="s">
        <v>57</v>
      </c>
      <c r="E84" s="147" t="s">
        <v>66</v>
      </c>
      <c r="F84" s="268" t="s">
        <v>963</v>
      </c>
      <c r="G84" s="268"/>
      <c r="H84" s="148" t="s">
        <v>964</v>
      </c>
      <c r="I84" s="269" t="s">
        <v>965</v>
      </c>
      <c r="J84" s="88">
        <f>Kalk!AH39</f>
        <v>0</v>
      </c>
      <c r="K84" s="150" t="e">
        <f>IF(AND(J84&gt;=$M$3,J84&lt;=$N$3), IF($I$89&lt;=0, $O$3/J84,($I$89-1)*$Q$3 + $P$3/J84  ),     IF(AND(J84&gt;=$M$4,J84&lt;=$N$4),  IF($I$89&lt;=0, $O$4,    ($I$89-1)*$Q$3 +$P$4),     IF(AND(J84&gt;=$M$5,J84&lt;=$N$5),  IF($I$89&lt;=0, $O$5,    ($I$89-1)*$Q$3 + $P$5),      IF(AND(J84&gt;=$M$6,J84&lt;=$N$6),  IF($I$89&lt;=0, $O$6,    ($I$89-1)*$Q$3 + $P$6),     IF(J84&gt;=$M$7,  IF($I$89&lt;=0, $O$7,    ($I$89-1)*$Q$3 + $P$7)         )))))</f>
        <v>#DIV/0!</v>
      </c>
      <c r="L84" s="180" t="b">
        <f>IF(AND(J84&gt;=M84,J84&lt;=N84),TRUE())</f>
        <v>1</v>
      </c>
    </row>
    <row r="85" spans="1:12" ht="13.2">
      <c r="A85" s="260"/>
      <c r="B85" s="267"/>
      <c r="C85" s="147">
        <f>Kalk!C40</f>
        <v>0</v>
      </c>
      <c r="D85" s="147">
        <f>Kalk!E40</f>
        <v>0</v>
      </c>
      <c r="E85" s="147">
        <f>Kalk!G40</f>
        <v>0</v>
      </c>
      <c r="F85" s="147">
        <f ca="1">Kalk!I40</f>
        <v>47</v>
      </c>
      <c r="G85" s="147">
        <f ca="1">Kalk!I42</f>
        <v>8</v>
      </c>
      <c r="H85" s="147" t="str">
        <f>Kalk!B40</f>
        <v>F0201</v>
      </c>
      <c r="I85" s="269"/>
      <c r="J85" s="88">
        <f>Kalk!AH40</f>
        <v>0</v>
      </c>
      <c r="K85" s="150" t="e">
        <f>IF(AND(J85&gt;=$M$3,J85&lt;=$N$3), IF($I$89&lt;=0, $O$3/J85,($I$89-1)*$Q$3 + $P$3/J85  ),     IF(AND(J85&gt;=$M$4,J85&lt;=$N$4),  IF($I$89&lt;=0, $O$4,    ($I$89-1)*$Q$3 +$P$4),     IF(AND(J85&gt;=$M$5,J85&lt;=$N$5),  IF($I$89&lt;=0, $O$5,    ($I$89-1)*$Q$3 + $P$5),      IF(AND(J85&gt;=$M$6,J85&lt;=$N$6),  IF($I$89&lt;=0, $O$6,    ($I$89-1)*$Q$3 + $P$6),     IF(J85&gt;=$M$7,  IF($I$89&lt;=0, $O$7,    ($I$89-1)*$Q$3 + $P$7)         )))))</f>
        <v>#DIV/0!</v>
      </c>
    </row>
    <row r="86" spans="1:12" ht="13.2">
      <c r="A86" s="260"/>
      <c r="B86" s="153">
        <f ca="1">IF(SUM(C86:H86)+F89+H89=8,1,IF(SUM(C86:H86)+H89=17,2,IF((SUM(C86:H86)+H89=27)*OR(SUM(C86:H86)+H89=17),2,0)))</f>
        <v>0</v>
      </c>
      <c r="C86" s="88">
        <f>IF((C85&gt;=200)*AND(C85&lt;250),11,IF((C85&gt;=250)*AND(C85&lt;=1000),1,0))</f>
        <v>0</v>
      </c>
      <c r="D86" s="88">
        <f>IF(AND(D85&gt;=200,D85&lt;250,ISOWA!B86=0),11,IF(AND(D85&gt;=250,D85&lt;700),1, 0))</f>
        <v>0</v>
      </c>
      <c r="E86" s="88">
        <v>0</v>
      </c>
      <c r="F86" s="88">
        <f ca="1">IF((F85&gt;=835)*AND(F85&lt;=2900),1,0)</f>
        <v>0</v>
      </c>
      <c r="G86" s="88">
        <f ca="1">IF((G85&gt;=520)*AND(G85&lt;=1320),1,0)</f>
        <v>0</v>
      </c>
      <c r="H86" s="88">
        <f>IF(OR(H85="F0200",H85="F0201",H85="F0202",H85="F0203",H85="F0201-F0203",H85="F0200-F0203",H85="F0501"),1,0)</f>
        <v>1</v>
      </c>
      <c r="I86" s="154">
        <f>Kalk!M84</f>
        <v>0</v>
      </c>
      <c r="J86" s="88">
        <f>Kalk!AH41</f>
        <v>0</v>
      </c>
      <c r="K86" s="150" t="e">
        <f>IF(AND(J86&gt;=$M$3,J86&lt;=$N$3), IF($I$89&lt;=0, $O$3/J86,($I$89-1)*$Q$3 + $P$3/J86  ),     IF(AND(J86&gt;=$M$4,J86&lt;=$N$4),  IF($I$89&lt;=0, $O$4,    ($I$89-1)*$Q$3 +$P$4),     IF(AND(J86&gt;=$M$5,J86&lt;=$N$5),  IF($I$89&lt;=0, $O$5,    ($I$89-1)*$Q$3 + $P$5),      IF(AND(J86&gt;=$M$6,J86&lt;=$N$6),  IF($I$89&lt;=0, $O$6,    ($I$89-1)*$Q$3 + $P$6),     IF(J86&gt;=$M$7,  IF($I$89&lt;=0, $O$7,    ($I$89-1)*$Q$3 + $P$7)         )))))</f>
        <v>#DIV/0!</v>
      </c>
    </row>
    <row r="87" spans="1:12" ht="12.9" customHeight="1">
      <c r="A87" s="260"/>
      <c r="B87" s="269" t="s">
        <v>968</v>
      </c>
      <c r="E87" t="s">
        <v>35</v>
      </c>
      <c r="F87" s="269" t="s">
        <v>1058</v>
      </c>
      <c r="G87" s="269" t="s">
        <v>1059</v>
      </c>
      <c r="H87" s="269" t="s">
        <v>1060</v>
      </c>
      <c r="I87" s="269" t="s">
        <v>971</v>
      </c>
      <c r="J87" s="88">
        <f>Kalk!AH42</f>
        <v>0</v>
      </c>
      <c r="K87" s="150" t="e">
        <f>IF(AND(J87&gt;=$M$3,J87&lt;=$N$3), IF($I$89&lt;=0, $O$3/J87,($I$89-1)*$Q$3 + $P$3/J87  ),     IF(AND(J87&gt;=$M$4,J87&lt;=$N$4),  IF($I$89&lt;=0, $O$4,    ($I$89-1)*$Q$3 +$P$4),     IF(AND(J87&gt;=$M$5,J87&lt;=$N$5),  IF($I$89&lt;=0, $O$5,    ($I$89-1)*$Q$3 + $P$5),      IF(AND(J87&gt;=$M$6,J87&lt;=$N$6),  IF($I$89&lt;=0, $O$6,    ($I$89-1)*$Q$3 + $P$6),     IF(J87&gt;=$M$7,  IF($I$89&lt;=0, $O$7,    ($I$89-1)*$Q$3 + $P$7)         )))))</f>
        <v>#DIV/0!</v>
      </c>
    </row>
    <row r="88" spans="1:12" ht="13.2">
      <c r="A88" s="260"/>
      <c r="B88" s="269"/>
      <c r="C88" s="155"/>
      <c r="D88" s="155"/>
      <c r="F88" s="269"/>
      <c r="G88" s="269"/>
      <c r="H88" s="269"/>
      <c r="I88" s="269"/>
      <c r="J88" s="6"/>
      <c r="K88" s="157"/>
    </row>
    <row r="89" spans="1:12" ht="13.2">
      <c r="A89" s="260"/>
      <c r="B89" s="158">
        <f ca="1">Kalk!J39</f>
        <v>3.7599999999999998E-4</v>
      </c>
      <c r="C89" s="123"/>
      <c r="D89" s="123"/>
      <c r="E89" s="159"/>
      <c r="F89" s="88">
        <f>IF(Kalk!L40&lt;861,1,0)</f>
        <v>1</v>
      </c>
      <c r="G89" s="154">
        <f ca="1">IF(C86+E86+G86+H86+H89=5,1,IF(C86+E86+G86+H86+H89=15,2,IF((C86+E86+G86+H86+H89=25)*OR(C86+E86+G86+H86+H89=15),2,0)))</f>
        <v>0</v>
      </c>
      <c r="H89" s="154">
        <f>IF(E85&lt;=890,1,IF(E85+((G85-E85)/2)&lt;=1145,1,0))</f>
        <v>1</v>
      </c>
      <c r="I89" s="154">
        <f>Kalk!W39</f>
        <v>0</v>
      </c>
      <c r="J89" s="160"/>
      <c r="K89" s="161"/>
    </row>
    <row r="90" spans="1:12" ht="13.2">
      <c r="A90" s="260"/>
      <c r="B90" s="158">
        <f ca="1">Kalk!J39</f>
        <v>3.7599999999999998E-4</v>
      </c>
      <c r="C90" s="123"/>
      <c r="D90" s="123"/>
      <c r="E90" s="159"/>
      <c r="F90" s="6"/>
      <c r="G90" s="6"/>
      <c r="H90" s="6"/>
      <c r="I90" s="154"/>
      <c r="J90" s="160"/>
      <c r="K90" s="161"/>
    </row>
    <row r="91" spans="1:12" ht="13.2">
      <c r="A91" s="260"/>
      <c r="B91" s="158">
        <f ca="1">Kalk!J39</f>
        <v>3.7599999999999998E-4</v>
      </c>
      <c r="C91" s="123"/>
      <c r="D91" s="123"/>
      <c r="E91" s="168"/>
      <c r="F91" s="166"/>
      <c r="G91" s="166"/>
      <c r="H91" s="166"/>
      <c r="I91" s="169"/>
      <c r="J91" s="166"/>
    </row>
    <row r="92" spans="1:12" ht="13.2">
      <c r="B92" s="158">
        <f ca="1">Kalk!J39</f>
        <v>3.7599999999999998E-4</v>
      </c>
    </row>
  </sheetData>
  <mergeCells count="91">
    <mergeCell ref="M1:N1"/>
    <mergeCell ref="A3:A10"/>
    <mergeCell ref="B3:B4"/>
    <mergeCell ref="F3:G3"/>
    <mergeCell ref="I3:I4"/>
    <mergeCell ref="B6:B7"/>
    <mergeCell ref="F6:F7"/>
    <mergeCell ref="G6:G7"/>
    <mergeCell ref="H6:H7"/>
    <mergeCell ref="I6:I7"/>
    <mergeCell ref="A12:A19"/>
    <mergeCell ref="B12:B13"/>
    <mergeCell ref="F12:G12"/>
    <mergeCell ref="I12:I13"/>
    <mergeCell ref="B15:B16"/>
    <mergeCell ref="F15:F16"/>
    <mergeCell ref="G15:G16"/>
    <mergeCell ref="H15:H16"/>
    <mergeCell ref="I15:I16"/>
    <mergeCell ref="A21:A28"/>
    <mergeCell ref="B21:B22"/>
    <mergeCell ref="F21:G21"/>
    <mergeCell ref="I21:I22"/>
    <mergeCell ref="B24:B25"/>
    <mergeCell ref="F24:F25"/>
    <mergeCell ref="G24:G25"/>
    <mergeCell ref="H24:H25"/>
    <mergeCell ref="I24:I25"/>
    <mergeCell ref="A30:A37"/>
    <mergeCell ref="B30:B31"/>
    <mergeCell ref="F30:G30"/>
    <mergeCell ref="I30:I31"/>
    <mergeCell ref="B33:B34"/>
    <mergeCell ref="F33:F34"/>
    <mergeCell ref="G33:G34"/>
    <mergeCell ref="H33:H34"/>
    <mergeCell ref="I33:I34"/>
    <mergeCell ref="A39:A46"/>
    <mergeCell ref="B39:B40"/>
    <mergeCell ref="F39:G39"/>
    <mergeCell ref="I39:I40"/>
    <mergeCell ref="B42:B43"/>
    <mergeCell ref="F42:F43"/>
    <mergeCell ref="G42:G43"/>
    <mergeCell ref="H42:H43"/>
    <mergeCell ref="I42:I43"/>
    <mergeCell ref="A48:A55"/>
    <mergeCell ref="B48:B49"/>
    <mergeCell ref="F48:G48"/>
    <mergeCell ref="I48:I49"/>
    <mergeCell ref="B51:B52"/>
    <mergeCell ref="F51:F52"/>
    <mergeCell ref="G51:G52"/>
    <mergeCell ref="H51:H52"/>
    <mergeCell ref="I51:I52"/>
    <mergeCell ref="A57:A64"/>
    <mergeCell ref="B57:B58"/>
    <mergeCell ref="F57:G57"/>
    <mergeCell ref="I57:I58"/>
    <mergeCell ref="B60:B61"/>
    <mergeCell ref="F60:F61"/>
    <mergeCell ref="G60:G61"/>
    <mergeCell ref="H60:H61"/>
    <mergeCell ref="I60:I61"/>
    <mergeCell ref="A66:A73"/>
    <mergeCell ref="B66:B67"/>
    <mergeCell ref="F66:G66"/>
    <mergeCell ref="I66:I67"/>
    <mergeCell ref="B69:B70"/>
    <mergeCell ref="F69:F70"/>
    <mergeCell ref="G69:G70"/>
    <mergeCell ref="H69:H70"/>
    <mergeCell ref="I69:I70"/>
    <mergeCell ref="A75:A82"/>
    <mergeCell ref="B75:B76"/>
    <mergeCell ref="F75:G75"/>
    <mergeCell ref="I75:I76"/>
    <mergeCell ref="B78:B79"/>
    <mergeCell ref="F78:F79"/>
    <mergeCell ref="G78:G79"/>
    <mergeCell ref="H78:H79"/>
    <mergeCell ref="I78:I79"/>
    <mergeCell ref="A84:A91"/>
    <mergeCell ref="B84:B85"/>
    <mergeCell ref="F84:G84"/>
    <mergeCell ref="I84:I85"/>
    <mergeCell ref="B87:B88"/>
    <mergeCell ref="F87:F88"/>
    <mergeCell ref="G87:G88"/>
    <mergeCell ref="H87:H88"/>
    <mergeCell ref="I87:I8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FFC000"/>
    <pageSetUpPr fitToPage="1"/>
  </sheetPr>
  <dimension ref="A1:R92"/>
  <sheetViews>
    <sheetView zoomScale="74" zoomScaleNormal="74" workbookViewId="0">
      <selection activeCell="H15" sqref="H15:H16"/>
    </sheetView>
  </sheetViews>
  <sheetFormatPr defaultColWidth="11.5546875" defaultRowHeight="12.75" customHeight="1"/>
  <cols>
    <col min="11" max="11" width="23.6640625" customWidth="1"/>
    <col min="13" max="14" width="13.44140625" customWidth="1"/>
    <col min="20" max="20" width="13" customWidth="1"/>
  </cols>
  <sheetData>
    <row r="1" spans="1:18" ht="13.2">
      <c r="J1" s="88"/>
      <c r="K1" s="110"/>
      <c r="M1" s="262" t="s">
        <v>955</v>
      </c>
      <c r="N1" s="262"/>
      <c r="O1" s="270" t="s">
        <v>1061</v>
      </c>
      <c r="P1" s="270"/>
      <c r="Q1" s="278"/>
      <c r="R1" s="278"/>
    </row>
    <row r="2" spans="1:18" ht="13.2">
      <c r="J2" s="88" t="s">
        <v>83</v>
      </c>
      <c r="K2" s="110" t="s">
        <v>956</v>
      </c>
      <c r="M2" s="117" t="s">
        <v>1055</v>
      </c>
      <c r="N2" s="117" t="s">
        <v>1056</v>
      </c>
      <c r="O2" s="117"/>
      <c r="P2" s="166"/>
      <c r="R2" s="166"/>
    </row>
    <row r="3" spans="1:18" ht="12.9" customHeight="1">
      <c r="A3" s="260">
        <v>1</v>
      </c>
      <c r="B3" s="267" t="s">
        <v>962</v>
      </c>
      <c r="C3" s="277" t="s">
        <v>1062</v>
      </c>
      <c r="D3" s="277" t="s">
        <v>1063</v>
      </c>
      <c r="E3" s="147" t="s">
        <v>969</v>
      </c>
      <c r="F3" s="268" t="s">
        <v>963</v>
      </c>
      <c r="G3" s="268"/>
      <c r="H3" s="148" t="s">
        <v>964</v>
      </c>
      <c r="I3" s="269" t="s">
        <v>1064</v>
      </c>
      <c r="J3" s="88">
        <f>Kalk!AH3</f>
        <v>1000</v>
      </c>
      <c r="K3" s="150">
        <f>IF(AND(J3&gt;=$M$3,J3&lt;=$N$3), ($O$3/J3 ),         IF(AND(J3&gt;=$M$4,J3&lt;=$N$4), ($O$4/I5), IF(AND(J3&gt;=$M$5,J3&lt;=$N$5),  ($O$5/I5),    IF(AND(J3&gt;=$M$6,J3&lt;=$N$6),  ($O$6/I5),  ""))))</f>
        <v>0.14000000000000001</v>
      </c>
      <c r="M3" s="117">
        <v>1</v>
      </c>
      <c r="N3" s="117">
        <v>499</v>
      </c>
      <c r="O3" s="117">
        <v>100</v>
      </c>
    </row>
    <row r="4" spans="1:18" ht="13.2">
      <c r="A4" s="260"/>
      <c r="B4" s="267"/>
      <c r="C4" s="277"/>
      <c r="D4" s="277"/>
      <c r="E4" s="147" t="str">
        <f>Kalk!B3</f>
        <v xml:space="preserve"> </v>
      </c>
      <c r="F4" s="147">
        <f ca="1">Kalk!I4</f>
        <v>63</v>
      </c>
      <c r="G4" s="147">
        <f ca="1">Kalk!I6</f>
        <v>22</v>
      </c>
      <c r="H4" s="147" t="str">
        <f>Kalk!B4</f>
        <v>F0201</v>
      </c>
      <c r="I4" s="269"/>
      <c r="J4" s="88">
        <f>Kalk!AH4</f>
        <v>0</v>
      </c>
      <c r="K4" s="150" t="str">
        <f>IF(AND(J4&gt;=$M$3,J4&lt;=$N$3), ($O$3/J4 ),         IF(AND(J4&gt;=$M$4,J4&lt;=$N$4), ($O$4/I5), IF(AND(J4&gt;=$M$5,J4&lt;=$N$5),  ($O$5/I5),    IF(AND(J4&gt;=$M$6,J4&lt;=$N$6),  ($O$6/I5),  ""))))</f>
        <v/>
      </c>
      <c r="M4" s="117">
        <v>500</v>
      </c>
      <c r="N4" s="117">
        <v>999</v>
      </c>
      <c r="O4" s="176">
        <v>0.21</v>
      </c>
      <c r="P4" s="145"/>
      <c r="Q4" s="145"/>
    </row>
    <row r="5" spans="1:18" ht="13.2">
      <c r="A5" s="260"/>
      <c r="B5" s="153">
        <f ca="1">IF(OR(C5=1,D5=1),1,0)</f>
        <v>0</v>
      </c>
      <c r="C5" s="88">
        <f ca="1">IF(SUM(E5:G5)=3,1,0)</f>
        <v>0</v>
      </c>
      <c r="D5" s="88">
        <f ca="1">IF(SUM(E5+F6+G6)=3,1,   0)</f>
        <v>0</v>
      </c>
      <c r="E5" s="88">
        <f>IF(E4="Die cut",1,0)</f>
        <v>0</v>
      </c>
      <c r="F5" s="88">
        <f ca="1">IF((F4&gt;=650)*AND(F4&lt;=1620),1,0)</f>
        <v>0</v>
      </c>
      <c r="G5" s="88">
        <f ca="1">IF((G4&gt;=450)*AND(G4&lt;=1200),1,0)</f>
        <v>0</v>
      </c>
      <c r="H5" s="88">
        <f>IF(OR(H4="F0200",H4="F0201",H4="F0202",H4="F0203",H4="F0201-F0203",H4="F0200-F0203",H4="F0451",H4="F0501",H4="F0711",H4="F0713"),1,0)</f>
        <v>1</v>
      </c>
      <c r="I5" s="154">
        <f>Kalk!J5*Kalk!J6</f>
        <v>1</v>
      </c>
      <c r="J5" s="88">
        <f>Kalk!AH5</f>
        <v>0</v>
      </c>
      <c r="K5" s="150" t="str">
        <f>IF(AND(J5&gt;=$M$3,J5&lt;=$N$3), ($O$3/J5 ),         IF(AND(J5&gt;=$M$4,J5&lt;=$N$4), ($O$4/I5), IF(AND(J5&gt;=$M$5,J5&lt;=$N$5),  ($O$5/I5),    IF(AND(J5&gt;=$M$6,J5&lt;=$N$6),  ($O$6/I5),  ""))))</f>
        <v/>
      </c>
      <c r="M5" s="117">
        <v>1000</v>
      </c>
      <c r="N5" s="117">
        <v>2999</v>
      </c>
      <c r="O5" s="117">
        <v>0.14000000000000001</v>
      </c>
      <c r="P5" s="145"/>
      <c r="Q5" s="145"/>
    </row>
    <row r="6" spans="1:18" ht="12.9" customHeight="1">
      <c r="A6" s="260"/>
      <c r="B6" s="275" t="s">
        <v>968</v>
      </c>
      <c r="C6" s="6"/>
      <c r="D6" s="6"/>
      <c r="E6" s="6"/>
      <c r="F6" s="88">
        <f ca="1">IF((F4&gt;=450)*AND(F4&lt;=1200),1,0)</f>
        <v>0</v>
      </c>
      <c r="G6" s="88">
        <f ca="1">IF((G4&gt;=650)*AND(G4&lt;=1620),1,0)</f>
        <v>0</v>
      </c>
      <c r="H6" s="269" t="s">
        <v>970</v>
      </c>
      <c r="I6" s="269"/>
      <c r="J6" s="88">
        <f>Kalk!AH6</f>
        <v>0</v>
      </c>
      <c r="K6" s="150" t="str">
        <f>IF(AND(J6&gt;=$M$3,J6&lt;=$N$3), ($O$3/J6 ),         IF(AND(J6&gt;=$M$4,J6&lt;=$N$4), ($O$4/I5), IF(AND(J6&gt;=$M$5,J6&lt;=$N$5),  ($O$5/I5),    IF(AND(J6&gt;=$M$6,J6&lt;=$N$6),  ($O$6/I5),  ""))))</f>
        <v/>
      </c>
      <c r="M6" s="117">
        <v>3000</v>
      </c>
      <c r="N6" s="117">
        <v>1000000000000</v>
      </c>
      <c r="O6" s="117">
        <v>0.12</v>
      </c>
      <c r="P6" s="145"/>
      <c r="Q6" s="145"/>
    </row>
    <row r="7" spans="1:18" ht="13.2">
      <c r="A7" s="260"/>
      <c r="B7" s="275"/>
      <c r="C7" s="155"/>
      <c r="D7" s="155"/>
      <c r="F7" s="156"/>
      <c r="G7" s="156"/>
      <c r="H7" s="269"/>
      <c r="I7" s="269"/>
      <c r="J7" s="6"/>
      <c r="K7" s="157"/>
      <c r="P7" s="145"/>
      <c r="Q7" s="145"/>
    </row>
    <row r="8" spans="1:18" ht="13.2">
      <c r="A8" s="260"/>
      <c r="B8" s="158">
        <f ca="1">Kalk!J3</f>
        <v>1.3860000000000001E-3</v>
      </c>
      <c r="C8" s="123"/>
      <c r="D8" s="123"/>
      <c r="E8" s="159"/>
      <c r="F8" s="6"/>
      <c r="G8" s="6"/>
      <c r="H8" s="154">
        <f ca="1">IF(Kalk!N3="ETERNA",1,0)</f>
        <v>0</v>
      </c>
      <c r="I8" s="154"/>
      <c r="J8" s="160"/>
      <c r="K8" s="161"/>
    </row>
    <row r="9" spans="1:18" ht="13.2">
      <c r="A9" s="260"/>
      <c r="B9" s="158">
        <f ca="1">Kalk!J3</f>
        <v>1.3860000000000001E-3</v>
      </c>
      <c r="C9" s="123"/>
      <c r="D9" s="123"/>
      <c r="E9" s="159"/>
      <c r="F9" s="6"/>
      <c r="G9" s="6"/>
      <c r="H9" s="154"/>
      <c r="I9" s="154"/>
      <c r="J9" s="160"/>
      <c r="K9" s="161"/>
    </row>
    <row r="10" spans="1:18" ht="13.2">
      <c r="A10" s="260"/>
      <c r="B10" s="158">
        <f ca="1">Kalk!J3</f>
        <v>1.3860000000000001E-3</v>
      </c>
      <c r="C10" s="123"/>
      <c r="D10" s="123"/>
      <c r="E10" s="159"/>
      <c r="F10" s="6"/>
      <c r="G10" s="6"/>
      <c r="H10" s="6"/>
      <c r="I10" s="6"/>
      <c r="J10" s="166"/>
    </row>
    <row r="11" spans="1:18" ht="13.2">
      <c r="B11" s="158">
        <f ca="1">Kalk!J3</f>
        <v>1.3860000000000001E-3</v>
      </c>
      <c r="J11" s="88" t="s">
        <v>83</v>
      </c>
      <c r="K11" s="110" t="s">
        <v>956</v>
      </c>
    </row>
    <row r="12" spans="1:18" ht="12.9" customHeight="1">
      <c r="A12" s="260">
        <v>2</v>
      </c>
      <c r="B12" s="267" t="s">
        <v>962</v>
      </c>
      <c r="C12" s="277" t="s">
        <v>1062</v>
      </c>
      <c r="D12" s="277" t="s">
        <v>1063</v>
      </c>
      <c r="E12" s="147" t="s">
        <v>969</v>
      </c>
      <c r="F12" s="268" t="s">
        <v>963</v>
      </c>
      <c r="G12" s="268"/>
      <c r="H12" s="148" t="s">
        <v>964</v>
      </c>
      <c r="I12" s="269" t="s">
        <v>1064</v>
      </c>
      <c r="J12" s="88">
        <f>Kalk!AH7</f>
        <v>0</v>
      </c>
      <c r="K12" s="150" t="str">
        <f>IF(AND(J12&gt;=$M$3,J12&lt;=$N$3), ($O$3/J12 ),         IF(AND(J12&gt;=$M$4,J12&lt;=$N$4), ($O$4/I14), IF(AND(J12&gt;=$M$5,J12&lt;=$N$5),  ($O$5/I14),    IF(AND(J12&gt;=$M$6,J12&lt;=$N$6),  ($O$6/I14),  ""))))</f>
        <v/>
      </c>
    </row>
    <row r="13" spans="1:18" ht="13.2">
      <c r="A13" s="260"/>
      <c r="B13" s="267"/>
      <c r="C13" s="277"/>
      <c r="D13" s="277"/>
      <c r="E13" s="147" t="str">
        <f>Kalk!B7</f>
        <v xml:space="preserve"> </v>
      </c>
      <c r="F13" s="147">
        <f ca="1">Kalk!I8</f>
        <v>63</v>
      </c>
      <c r="G13" s="147">
        <f ca="1">Kalk!I10</f>
        <v>22</v>
      </c>
      <c r="H13" s="147" t="str">
        <f>Kalk!B8</f>
        <v>F0201</v>
      </c>
      <c r="I13" s="269"/>
      <c r="J13" s="88">
        <f>Kalk!AH8</f>
        <v>0</v>
      </c>
      <c r="K13" s="150" t="str">
        <f>IF(AND(J13&gt;=$M$3,J13&lt;=$N$3), ($O$3/J13 ),         IF(AND(J13&gt;=$M$4,J13&lt;=$N$4), ($O$4/I14), IF(AND(J13&gt;=$M$5,J13&lt;=$N$5),  ($O$5/I14),    IF(AND(J13&gt;=$M$6,J13&lt;=$N$6),  ($O$6/I14),  ""))))</f>
        <v/>
      </c>
    </row>
    <row r="14" spans="1:18" ht="13.2">
      <c r="A14" s="260"/>
      <c r="B14" s="153">
        <f ca="1">IF(OR(C14=1,D14=1),1,0)</f>
        <v>0</v>
      </c>
      <c r="C14" s="88">
        <f ca="1">IF(SUM(E14:G14)=3,1,0)</f>
        <v>0</v>
      </c>
      <c r="D14" s="88">
        <f ca="1">IF(SUM(E14+F15+G15)=3,1,   0)</f>
        <v>0</v>
      </c>
      <c r="E14" s="88">
        <f>IF(E13="Die cut",1,0)</f>
        <v>0</v>
      </c>
      <c r="F14" s="88">
        <f ca="1">IF((F13&gt;=650)*AND(F13&lt;=1620),1,0)</f>
        <v>0</v>
      </c>
      <c r="G14" s="88">
        <f ca="1">IF((G13&gt;=450)*AND(G13&lt;=1200),1,0)</f>
        <v>0</v>
      </c>
      <c r="H14" s="88">
        <f>IF(OR(H13="F0200",H13="F0201",H13="F0202",H13="F0203",H13="F0201-F0203",H13="F0200-F0203",H13="F0451",H13="F0501",H13="F0711",H13="F0713"),1,0)</f>
        <v>1</v>
      </c>
      <c r="I14" s="154">
        <f ca="1">Kalk!J14*Kalk!J15</f>
        <v>3.7599999999999998E-4</v>
      </c>
      <c r="J14" s="88">
        <f>Kalk!AH9</f>
        <v>0</v>
      </c>
      <c r="K14" s="150" t="str">
        <f>IF(AND(J14&gt;=$M$3,J14&lt;=$N$3), ($O$3/J14 ),         IF(AND(J14&gt;=$M$4,J14&lt;=$N$4), ($O$4/I14), IF(AND(J14&gt;=$M$5,J14&lt;=$N$5),  ($O$5/I14),    IF(AND(J14&gt;=$M$6,J14&lt;=$N$6),  ($O$6/I14),  ""))))</f>
        <v/>
      </c>
    </row>
    <row r="15" spans="1:18" ht="12.9" customHeight="1">
      <c r="A15" s="260"/>
      <c r="B15" s="275" t="s">
        <v>968</v>
      </c>
      <c r="C15" s="6"/>
      <c r="D15" s="6"/>
      <c r="E15" s="6"/>
      <c r="F15" s="88">
        <f ca="1">IF((F13&gt;=450)*AND(F13&lt;=1200),1,0)</f>
        <v>0</v>
      </c>
      <c r="G15" s="88">
        <f ca="1">IF((G13&gt;=650)*AND(G13&lt;=1620),1,0)</f>
        <v>0</v>
      </c>
      <c r="H15" s="269" t="s">
        <v>970</v>
      </c>
      <c r="I15" s="269"/>
      <c r="J15" s="88">
        <f>Kalk!AH10</f>
        <v>0</v>
      </c>
      <c r="K15" s="150" t="str">
        <f>IF(AND(J15&gt;=$M$3,J15&lt;=$N$3), ($O$3/J15 ),         IF(AND(J15&gt;=$M$4,J15&lt;=$N$4), ($O$4/I14), IF(AND(J15&gt;=$M$5,J15&lt;=$N$5),  ($O$5/I14),    IF(AND(J15&gt;=$M$6,J15&lt;=$N$6),  ($O$6/I14),  ""))))</f>
        <v/>
      </c>
    </row>
    <row r="16" spans="1:18" ht="13.2">
      <c r="A16" s="260"/>
      <c r="B16" s="275"/>
      <c r="C16" s="155"/>
      <c r="D16" s="155"/>
      <c r="F16" s="156"/>
      <c r="G16" s="156"/>
      <c r="H16" s="269"/>
      <c r="I16" s="269"/>
      <c r="J16" s="6"/>
      <c r="K16" s="157"/>
    </row>
    <row r="17" spans="1:11" ht="13.2">
      <c r="A17" s="260"/>
      <c r="B17" s="158">
        <f ca="1">Kalk!J7</f>
        <v>1.3860000000000001E-3</v>
      </c>
      <c r="C17" s="123"/>
      <c r="D17" s="123"/>
      <c r="E17" s="159"/>
      <c r="F17" s="6"/>
      <c r="G17" s="6"/>
      <c r="H17" s="154">
        <f ca="1">IF(Kalk!N7="ETERNA",1,0)</f>
        <v>0</v>
      </c>
      <c r="I17" s="154"/>
      <c r="J17" s="160"/>
      <c r="K17" s="161"/>
    </row>
    <row r="18" spans="1:11" ht="13.2">
      <c r="A18" s="260"/>
      <c r="B18" s="158">
        <f ca="1">Kalk!J7</f>
        <v>1.3860000000000001E-3</v>
      </c>
      <c r="C18" s="123"/>
      <c r="D18" s="123"/>
      <c r="E18" s="159"/>
      <c r="F18" s="6"/>
      <c r="G18" s="6"/>
      <c r="H18" s="154"/>
      <c r="I18" s="154"/>
      <c r="J18" s="160"/>
      <c r="K18" s="161"/>
    </row>
    <row r="19" spans="1:11" ht="13.2">
      <c r="A19" s="260"/>
      <c r="B19" s="158">
        <f ca="1">Kalk!J7</f>
        <v>1.3860000000000001E-3</v>
      </c>
      <c r="C19" s="123"/>
      <c r="D19" s="123"/>
      <c r="E19" s="159"/>
      <c r="F19" s="6"/>
      <c r="G19" s="6"/>
      <c r="H19" s="6"/>
      <c r="I19" s="6"/>
      <c r="J19" s="166"/>
    </row>
    <row r="20" spans="1:11" ht="13.2">
      <c r="B20" s="158">
        <f ca="1">Kalk!J7</f>
        <v>1.3860000000000001E-3</v>
      </c>
      <c r="J20" s="88" t="s">
        <v>83</v>
      </c>
      <c r="K20" s="110" t="s">
        <v>956</v>
      </c>
    </row>
    <row r="21" spans="1:11" ht="12.9" customHeight="1">
      <c r="A21" s="260">
        <v>3</v>
      </c>
      <c r="B21" s="267" t="s">
        <v>962</v>
      </c>
      <c r="C21" s="277" t="s">
        <v>1062</v>
      </c>
      <c r="D21" s="277" t="s">
        <v>1063</v>
      </c>
      <c r="E21" s="147" t="s">
        <v>969</v>
      </c>
      <c r="F21" s="268" t="s">
        <v>963</v>
      </c>
      <c r="G21" s="268"/>
      <c r="H21" s="148" t="s">
        <v>964</v>
      </c>
      <c r="I21" s="269" t="s">
        <v>1064</v>
      </c>
      <c r="J21" s="88">
        <f>Kalk!AH11</f>
        <v>0</v>
      </c>
      <c r="K21" s="150" t="str">
        <f>IF(AND(J21&gt;=$M$3,J21&lt;=$N$3), ($O$3/J21 ),         IF(AND(J21&gt;=$M$4,J21&lt;=$N$4), ($O$4/I23), IF(AND(J21&gt;=$M$5,J21&lt;=$N$5),  ($O$5/I23),    IF(AND(J21&gt;=$M$6,J21&lt;=$N$6),  ($O$6/I23),  ""))))</f>
        <v/>
      </c>
    </row>
    <row r="22" spans="1:11" ht="13.2">
      <c r="A22" s="260"/>
      <c r="B22" s="267"/>
      <c r="C22" s="277"/>
      <c r="D22" s="277"/>
      <c r="E22" s="147" t="str">
        <f>Kalk!B11</f>
        <v xml:space="preserve"> </v>
      </c>
      <c r="F22" s="147">
        <f ca="1">Kalk!I12</f>
        <v>47</v>
      </c>
      <c r="G22" s="147">
        <f ca="1">Kalk!I14</f>
        <v>8</v>
      </c>
      <c r="H22" s="147" t="str">
        <f>Kalk!B12</f>
        <v>F0201</v>
      </c>
      <c r="I22" s="269"/>
      <c r="J22" s="88">
        <f>Kalk!AH12</f>
        <v>0</v>
      </c>
      <c r="K22" s="150" t="str">
        <f>IF(AND(J22&gt;=$M$3,J22&lt;=$N$3), ($O$3/J22 ),         IF(AND(J22&gt;=$M$4,J22&lt;=$N$4), ($O$4/I23), IF(AND(J22&gt;=$M$5,J22&lt;=$N$5),  ($O$5/I23),    IF(AND(J22&gt;=$M$6,J22&lt;=$N$6),  ($O$6/I23),  ""))))</f>
        <v/>
      </c>
    </row>
    <row r="23" spans="1:11" ht="13.2">
      <c r="A23" s="260"/>
      <c r="B23" s="153">
        <f ca="1">IF(OR(C23=1,D23=1),1,0)</f>
        <v>0</v>
      </c>
      <c r="C23" s="88">
        <f ca="1">IF(SUM(E23:G23)=3,1,0)</f>
        <v>0</v>
      </c>
      <c r="D23" s="88">
        <f ca="1">IF(SUM(E23+F24+G24)=3,1,   0)</f>
        <v>0</v>
      </c>
      <c r="E23" s="88">
        <f>IF(E22="Die cut",1,0)</f>
        <v>0</v>
      </c>
      <c r="F23" s="88">
        <f ca="1">IF((F22&gt;=650)*AND(F22&lt;=1620),1,0)</f>
        <v>0</v>
      </c>
      <c r="G23" s="88">
        <f ca="1">IF((G22&gt;=450)*AND(G22&lt;=1200),1,0)</f>
        <v>0</v>
      </c>
      <c r="H23" s="88">
        <f>IF(OR(H22="F0200",H22="F0201",H22="F0202",H22="F0203",H22="F0201-F0203",H22="F0200-F0203",H22="F0451",H22="F0501",H22="F0711",H22="F0713"),1,0)</f>
        <v>1</v>
      </c>
      <c r="I23" s="154">
        <f ca="1">Kalk!J23*Kalk!J24</f>
        <v>0</v>
      </c>
      <c r="J23" s="88">
        <f>Kalk!AH13</f>
        <v>0</v>
      </c>
      <c r="K23" s="150" t="str">
        <f>IF(AND(J23&gt;=$M$3,J23&lt;=$N$3), ($O$3/J23 ),         IF(AND(J23&gt;=$M$4,J23&lt;=$N$4), ($O$4/I23), IF(AND(J23&gt;=$M$5,J23&lt;=$N$5),  ($O$5/I23),    IF(AND(J23&gt;=$M$6,J23&lt;=$N$6),  ($O$6/I23),  ""))))</f>
        <v/>
      </c>
    </row>
    <row r="24" spans="1:11" ht="12.9" customHeight="1">
      <c r="A24" s="260"/>
      <c r="B24" s="275" t="s">
        <v>968</v>
      </c>
      <c r="C24" s="6"/>
      <c r="D24" s="6"/>
      <c r="E24" s="6"/>
      <c r="F24" s="88">
        <f ca="1">IF((F22&gt;=450)*AND(F22&lt;=1200),1,0)</f>
        <v>0</v>
      </c>
      <c r="G24" s="88">
        <f ca="1">IF((G22&gt;=650)*AND(G22&lt;=1620),1,0)</f>
        <v>0</v>
      </c>
      <c r="H24" s="269" t="s">
        <v>970</v>
      </c>
      <c r="I24" s="269"/>
      <c r="J24" s="88">
        <f>Kalk!AH14</f>
        <v>0</v>
      </c>
      <c r="K24" s="150" t="str">
        <f>IF(AND(J24&gt;=$M$3,J24&lt;=$N$3), ($O$3/J24 ),         IF(AND(J24&gt;=$M$4,J24&lt;=$N$4), ($O$4/I23), IF(AND(J24&gt;=$M$5,J24&lt;=$N$5),  ($O$5/I23),    IF(AND(J24&gt;=$M$6,J24&lt;=$N$6),  ($O$6/I23),  ""))))</f>
        <v/>
      </c>
    </row>
    <row r="25" spans="1:11" ht="13.2">
      <c r="A25" s="260"/>
      <c r="B25" s="275"/>
      <c r="C25" s="155"/>
      <c r="D25" s="155"/>
      <c r="F25" s="156"/>
      <c r="G25" s="156"/>
      <c r="H25" s="269"/>
      <c r="I25" s="269"/>
      <c r="J25" s="6"/>
      <c r="K25" s="157"/>
    </row>
    <row r="26" spans="1:11" ht="13.2">
      <c r="A26" s="260"/>
      <c r="B26" s="158">
        <f ca="1">Kalk!J11</f>
        <v>3.7599999999999998E-4</v>
      </c>
      <c r="C26" s="123"/>
      <c r="D26" s="123"/>
      <c r="E26" s="159"/>
      <c r="F26" s="6"/>
      <c r="G26" s="6"/>
      <c r="H26" s="154">
        <f ca="1">IF(Kalk!N11="ETERNA",1,0)</f>
        <v>0</v>
      </c>
      <c r="I26" s="154"/>
      <c r="J26" s="160"/>
      <c r="K26" s="161"/>
    </row>
    <row r="27" spans="1:11" ht="13.2">
      <c r="A27" s="260"/>
      <c r="B27" s="158">
        <f ca="1">Kalk!J11</f>
        <v>3.7599999999999998E-4</v>
      </c>
      <c r="C27" s="123"/>
      <c r="D27" s="123"/>
      <c r="E27" s="159"/>
      <c r="F27" s="6"/>
      <c r="G27" s="6"/>
      <c r="H27" s="6"/>
      <c r="I27" s="154"/>
      <c r="J27" s="160"/>
      <c r="K27" s="161"/>
    </row>
    <row r="28" spans="1:11" ht="13.2">
      <c r="A28" s="260"/>
      <c r="B28" s="158">
        <f ca="1">Kalk!J11</f>
        <v>3.7599999999999998E-4</v>
      </c>
      <c r="C28" s="123"/>
      <c r="D28" s="123"/>
      <c r="E28" s="159"/>
      <c r="F28" s="6"/>
      <c r="G28" s="6"/>
      <c r="H28" s="6"/>
      <c r="I28" s="6"/>
      <c r="J28" s="166"/>
    </row>
    <row r="29" spans="1:11" ht="13.2">
      <c r="B29" s="158">
        <f ca="1">Kalk!J11</f>
        <v>3.7599999999999998E-4</v>
      </c>
      <c r="C29" s="167"/>
      <c r="D29" s="167"/>
      <c r="E29" s="167"/>
      <c r="F29" s="167"/>
      <c r="G29" s="167"/>
      <c r="H29" s="167"/>
      <c r="I29" s="167"/>
      <c r="J29" s="88" t="s">
        <v>83</v>
      </c>
      <c r="K29" s="110" t="s">
        <v>956</v>
      </c>
    </row>
    <row r="30" spans="1:11" ht="12.9" customHeight="1">
      <c r="A30" s="260">
        <v>4</v>
      </c>
      <c r="B30" s="267" t="s">
        <v>962</v>
      </c>
      <c r="C30" s="277" t="s">
        <v>1062</v>
      </c>
      <c r="D30" s="277" t="s">
        <v>1063</v>
      </c>
      <c r="E30" s="147" t="s">
        <v>969</v>
      </c>
      <c r="F30" s="268" t="s">
        <v>963</v>
      </c>
      <c r="G30" s="268"/>
      <c r="H30" s="148" t="s">
        <v>964</v>
      </c>
      <c r="I30" s="269" t="s">
        <v>1064</v>
      </c>
      <c r="J30" s="88">
        <f>Kalk!AH15</f>
        <v>0</v>
      </c>
      <c r="K30" s="150" t="str">
        <f>IF(AND(J30&gt;=$M$3,J30&lt;=$N$3), ($O$3/J30 ),         IF(AND(J30&gt;=$M$4,J30&lt;=$N$4), ($O$4/I32), IF(AND(J30&gt;=$M$5,J30&lt;=$N$5),  ($O$5/I32),    IF(AND(J30&gt;=$M$6,J30&lt;=$N$6),  ($O$6/I32),  ""))))</f>
        <v/>
      </c>
    </row>
    <row r="31" spans="1:11" ht="13.2">
      <c r="A31" s="260"/>
      <c r="B31" s="267"/>
      <c r="C31" s="277"/>
      <c r="D31" s="277"/>
      <c r="E31" s="147" t="str">
        <f>Kalk!B15</f>
        <v xml:space="preserve"> </v>
      </c>
      <c r="F31" s="147">
        <f ca="1">Kalk!I16</f>
        <v>47</v>
      </c>
      <c r="G31" s="147">
        <f ca="1">Kalk!I18</f>
        <v>8</v>
      </c>
      <c r="H31" s="147" t="str">
        <f>Kalk!B16</f>
        <v>F0201</v>
      </c>
      <c r="I31" s="269"/>
      <c r="J31" s="88">
        <f>Kalk!AH16</f>
        <v>0</v>
      </c>
      <c r="K31" s="150" t="str">
        <f>IF(AND(J31&gt;=$M$3,J31&lt;=$N$3), ($O$3/J31 ),         IF(AND(J31&gt;=$M$4,J31&lt;=$N$4), ($O$4/I32), IF(AND(J31&gt;=$M$5,J31&lt;=$N$5),  ($O$5/I32),    IF(AND(J31&gt;=$M$6,J31&lt;=$N$6),  ($O$6/I32),  ""))))</f>
        <v/>
      </c>
    </row>
    <row r="32" spans="1:11" ht="13.2">
      <c r="A32" s="260"/>
      <c r="B32" s="153">
        <f ca="1">IF(OR(C32=1,D32=1),1,0)</f>
        <v>0</v>
      </c>
      <c r="C32" s="88">
        <f ca="1">IF(SUM(E32:G32)=3,1,0)</f>
        <v>0</v>
      </c>
      <c r="D32" s="88">
        <f ca="1">IF(SUM(E32+F33+G33)=3,1,   0)</f>
        <v>0</v>
      </c>
      <c r="E32" s="88">
        <f>IF(E31="Die cut",1,0)</f>
        <v>0</v>
      </c>
      <c r="F32" s="88">
        <f ca="1">IF((F31&gt;=650)*AND(F31&lt;=1620),1,0)</f>
        <v>0</v>
      </c>
      <c r="G32" s="88">
        <f ca="1">IF((G31&gt;=450)*AND(G31&lt;=1200),1,0)</f>
        <v>0</v>
      </c>
      <c r="H32" s="88">
        <f>IF(OR(H31="F0200",H31="F0201",H31="F0202",H31="F0203",H31="F0201-F0203",H31="F0200-F0203",H31="F0451",H31="F0501",H31="F0711",H31="F0713"),1,0)</f>
        <v>1</v>
      </c>
      <c r="I32" s="154">
        <f>Kalk!J32*Kalk!J33</f>
        <v>0</v>
      </c>
      <c r="J32" s="88">
        <f>Kalk!AH17</f>
        <v>0</v>
      </c>
      <c r="K32" s="150" t="str">
        <f>IF(AND(J32&gt;=$M$3,J32&lt;=$N$3), ($O$3/J32 ),         IF(AND(J32&gt;=$M$4,J32&lt;=$N$4), ($O$4/I32), IF(AND(J32&gt;=$M$5,J32&lt;=$N$5),  ($O$5/I32),    IF(AND(J32&gt;=$M$6,J32&lt;=$N$6),  ($O$6/I32),  ""))))</f>
        <v/>
      </c>
    </row>
    <row r="33" spans="1:11" ht="12.9" customHeight="1">
      <c r="A33" s="260"/>
      <c r="B33" s="275" t="s">
        <v>968</v>
      </c>
      <c r="C33" s="6"/>
      <c r="D33" s="6"/>
      <c r="E33" s="6"/>
      <c r="F33" s="88">
        <f ca="1">IF((F31&gt;=450)*AND(F31&lt;=1200),1,0)</f>
        <v>0</v>
      </c>
      <c r="G33" s="88">
        <f ca="1">IF((G31&gt;=650)*AND(G31&lt;=1620),1,0)</f>
        <v>0</v>
      </c>
      <c r="H33" s="269" t="s">
        <v>970</v>
      </c>
      <c r="I33" s="269"/>
      <c r="J33" s="88">
        <f>Kalk!AH18</f>
        <v>0</v>
      </c>
      <c r="K33" s="150" t="str">
        <f>IF(AND(J33&gt;=$M$3,J33&lt;=$N$3), ($O$3/J33 ),         IF(AND(J33&gt;=$M$4,J33&lt;=$N$4), ($O$4/I32), IF(AND(J33&gt;=$M$5,J33&lt;=$N$5),  ($O$5/I32),    IF(AND(J33&gt;=$M$6,J33&lt;=$N$6),  ($O$6/I32),  ""))))</f>
        <v/>
      </c>
    </row>
    <row r="34" spans="1:11" ht="13.2">
      <c r="A34" s="260"/>
      <c r="B34" s="275"/>
      <c r="C34" s="155"/>
      <c r="D34" s="155"/>
      <c r="F34" s="156"/>
      <c r="G34" s="156"/>
      <c r="H34" s="269"/>
      <c r="I34" s="269"/>
      <c r="J34" s="6"/>
      <c r="K34" s="157"/>
    </row>
    <row r="35" spans="1:11" ht="13.2">
      <c r="A35" s="260"/>
      <c r="B35" s="158">
        <f ca="1">Kalk!J15</f>
        <v>3.7599999999999998E-4</v>
      </c>
      <c r="C35" s="123"/>
      <c r="D35" s="123"/>
      <c r="E35" s="159"/>
      <c r="F35" s="6"/>
      <c r="G35" s="6"/>
      <c r="H35" s="154">
        <f ca="1">IF(Kalk!N15="ETERNA",1,0)</f>
        <v>0</v>
      </c>
      <c r="I35" s="154"/>
      <c r="J35" s="160"/>
      <c r="K35" s="161"/>
    </row>
    <row r="36" spans="1:11" ht="13.2">
      <c r="A36" s="260"/>
      <c r="B36" s="158">
        <f ca="1">Kalk!J15</f>
        <v>3.7599999999999998E-4</v>
      </c>
      <c r="C36" s="123"/>
      <c r="D36" s="123"/>
      <c r="E36" s="159"/>
      <c r="F36" s="6"/>
      <c r="G36" s="6"/>
      <c r="H36" s="6"/>
      <c r="I36" s="154"/>
      <c r="J36" s="160"/>
      <c r="K36" s="161"/>
    </row>
    <row r="37" spans="1:11" ht="13.2">
      <c r="A37" s="260"/>
      <c r="B37" s="158">
        <f ca="1">Kalk!J15</f>
        <v>3.7599999999999998E-4</v>
      </c>
      <c r="C37" s="123"/>
      <c r="D37" s="123"/>
      <c r="E37" s="159"/>
      <c r="F37" s="6"/>
      <c r="G37" s="6"/>
      <c r="H37" s="6"/>
      <c r="I37" s="6"/>
      <c r="J37" s="166"/>
    </row>
    <row r="38" spans="1:11" ht="13.2">
      <c r="B38" s="158">
        <f ca="1">Kalk!J15</f>
        <v>3.7599999999999998E-4</v>
      </c>
      <c r="C38" s="167"/>
      <c r="D38" s="167"/>
      <c r="E38" s="167"/>
      <c r="F38" s="167"/>
      <c r="G38" s="167"/>
      <c r="H38" s="167"/>
      <c r="I38" s="167"/>
      <c r="J38" s="88" t="s">
        <v>83</v>
      </c>
      <c r="K38" s="110" t="s">
        <v>956</v>
      </c>
    </row>
    <row r="39" spans="1:11" ht="12.9" customHeight="1">
      <c r="A39" s="260">
        <v>5</v>
      </c>
      <c r="B39" s="267" t="s">
        <v>962</v>
      </c>
      <c r="C39" s="277" t="s">
        <v>1062</v>
      </c>
      <c r="D39" s="277" t="s">
        <v>1063</v>
      </c>
      <c r="E39" s="147" t="s">
        <v>969</v>
      </c>
      <c r="F39" s="268" t="s">
        <v>963</v>
      </c>
      <c r="G39" s="268"/>
      <c r="H39" s="148" t="s">
        <v>964</v>
      </c>
      <c r="I39" s="269" t="s">
        <v>1064</v>
      </c>
      <c r="J39" s="88">
        <f>Kalk!AH19</f>
        <v>0</v>
      </c>
      <c r="K39" s="150" t="str">
        <f>IF(AND(J39&gt;=$M$3,J39&lt;=$N$3), ($O$3/J39 ),         IF(AND(J39&gt;=$M$4,J39&lt;=$N$4), ($O$4/I41), IF(AND(J39&gt;=$M$5,J39&lt;=$N$5),  ($O$5/I41),    IF(AND(J39&gt;=$M$6,J39&lt;=$N$6),  ($O$6/I41),  ""))))</f>
        <v/>
      </c>
    </row>
    <row r="40" spans="1:11" ht="13.2">
      <c r="A40" s="260"/>
      <c r="B40" s="267"/>
      <c r="C40" s="277"/>
      <c r="D40" s="277"/>
      <c r="E40" s="147" t="str">
        <f>Kalk!B19</f>
        <v xml:space="preserve"> </v>
      </c>
      <c r="F40" s="147">
        <f ca="1">Kalk!I20</f>
        <v>47</v>
      </c>
      <c r="G40" s="147">
        <f ca="1">Kalk!I22</f>
        <v>8</v>
      </c>
      <c r="H40" s="147" t="str">
        <f>Kalk!B20</f>
        <v>F0201</v>
      </c>
      <c r="I40" s="269"/>
      <c r="J40" s="88">
        <f>Kalk!AH20</f>
        <v>0</v>
      </c>
      <c r="K40" s="150" t="str">
        <f>IF(AND(J40&gt;=$M$3,J40&lt;=$N$3), ($O$3/J40 ),         IF(AND(J40&gt;=$M$4,J40&lt;=$N$4), ($O$4/I41), IF(AND(J40&gt;=$M$5,J40&lt;=$N$5),  ($O$5/I41),    IF(AND(J40&gt;=$M$6,J40&lt;=$N$6),  ($O$6/I41),  ""))))</f>
        <v/>
      </c>
    </row>
    <row r="41" spans="1:11" ht="13.2">
      <c r="A41" s="260"/>
      <c r="B41" s="153">
        <f ca="1">IF(OR(C41=1,D41=1),1,0)</f>
        <v>0</v>
      </c>
      <c r="C41" s="88">
        <f ca="1">IF(SUM(E41:G41)=3,1,0)</f>
        <v>0</v>
      </c>
      <c r="D41" s="88">
        <f ca="1">IF(SUM(E41+F42+G42)=3,1,   0)</f>
        <v>0</v>
      </c>
      <c r="E41" s="88">
        <f>IF(E40="Die cut",1,0)</f>
        <v>0</v>
      </c>
      <c r="F41" s="88">
        <f ca="1">IF((F40&gt;=650)*AND(F40&lt;=1620),1,0)</f>
        <v>0</v>
      </c>
      <c r="G41" s="88">
        <f ca="1">IF((G40&gt;=450)*AND(G40&lt;=1200),1,0)</f>
        <v>0</v>
      </c>
      <c r="H41" s="88">
        <f>IF(OR(H40="F0200",H40="F0201",H40="F0202",H40="F0203",H40="F0201-F0203",H40="F0200-F0203",H40="F0451",H40="F0501",H40="F0711",H40="F0713"),1,0)</f>
        <v>1</v>
      </c>
      <c r="I41" s="154">
        <f>Kalk!J41*Kalk!J42</f>
        <v>1</v>
      </c>
      <c r="J41" s="88">
        <f>Kalk!AH21</f>
        <v>0</v>
      </c>
      <c r="K41" s="150" t="str">
        <f>IF(AND(J41&gt;=$M$3,J41&lt;=$N$3), ($O$3/J41 ),         IF(AND(J41&gt;=$M$4,J41&lt;=$N$4), ($O$4/I41), IF(AND(J41&gt;=$M$5,J41&lt;=$N$5),  ($O$5/I41),    IF(AND(J41&gt;=$M$6,J41&lt;=$N$6),  ($O$6/I41),  ""))))</f>
        <v/>
      </c>
    </row>
    <row r="42" spans="1:11" ht="12.9" customHeight="1">
      <c r="A42" s="260"/>
      <c r="B42" s="275" t="s">
        <v>968</v>
      </c>
      <c r="C42" s="6"/>
      <c r="D42" s="6"/>
      <c r="E42" s="6"/>
      <c r="F42" s="88">
        <f ca="1">IF((F40&gt;=450)*AND(F40&lt;=1200),1,0)</f>
        <v>0</v>
      </c>
      <c r="G42" s="88">
        <f ca="1">IF((G40&gt;=650)*AND(G40&lt;=1620),1,0)</f>
        <v>0</v>
      </c>
      <c r="H42" s="269" t="s">
        <v>970</v>
      </c>
      <c r="I42" s="269"/>
      <c r="J42" s="88">
        <f>Kalk!AH22</f>
        <v>0</v>
      </c>
      <c r="K42" s="150" t="str">
        <f>IF(AND(J42&gt;=$M$3,J42&lt;=$N$3), ($O$3/J42 ),         IF(AND(J42&gt;=$M$4,J42&lt;=$N$4), ($O$4/I41), IF(AND(J42&gt;=$M$5,J42&lt;=$N$5),  ($O$5/I41),    IF(AND(J42&gt;=$M$6,J42&lt;=$N$6),  ($O$6/I41),  ""))))</f>
        <v/>
      </c>
    </row>
    <row r="43" spans="1:11" ht="13.2">
      <c r="A43" s="260"/>
      <c r="B43" s="275"/>
      <c r="C43" s="155"/>
      <c r="D43" s="155"/>
      <c r="F43" s="156"/>
      <c r="G43" s="156"/>
      <c r="H43" s="269"/>
      <c r="I43" s="269"/>
      <c r="J43" s="6"/>
      <c r="K43" s="157"/>
    </row>
    <row r="44" spans="1:11" ht="13.2">
      <c r="A44" s="260"/>
      <c r="B44" s="158">
        <f ca="1">Kalk!J19</f>
        <v>3.7599999999999998E-4</v>
      </c>
      <c r="C44" s="123"/>
      <c r="D44" s="123"/>
      <c r="E44" s="159"/>
      <c r="F44" s="6"/>
      <c r="G44" s="6"/>
      <c r="H44" s="154">
        <f ca="1">IF(Kalk!N19="ETERNA",1,0)</f>
        <v>0</v>
      </c>
      <c r="I44" s="154"/>
      <c r="J44" s="160"/>
      <c r="K44" s="161"/>
    </row>
    <row r="45" spans="1:11" ht="13.2">
      <c r="A45" s="260"/>
      <c r="B45" s="158">
        <f ca="1">Kalk!J19</f>
        <v>3.7599999999999998E-4</v>
      </c>
      <c r="C45" s="123"/>
      <c r="D45" s="123"/>
      <c r="E45" s="159"/>
      <c r="F45" s="6"/>
      <c r="G45" s="6"/>
      <c r="H45" s="6"/>
      <c r="I45" s="154"/>
      <c r="J45" s="160"/>
      <c r="K45" s="161"/>
    </row>
    <row r="46" spans="1:11" ht="13.2">
      <c r="A46" s="260"/>
      <c r="B46" s="158">
        <f ca="1">Kalk!J19</f>
        <v>3.7599999999999998E-4</v>
      </c>
      <c r="C46" s="123"/>
      <c r="D46" s="123"/>
      <c r="E46" s="159"/>
      <c r="F46" s="6"/>
      <c r="G46" s="6"/>
      <c r="H46" s="6"/>
      <c r="I46" s="6"/>
      <c r="J46" s="166"/>
    </row>
    <row r="47" spans="1:11" ht="13.2">
      <c r="B47" s="158">
        <f ca="1">Kalk!J19</f>
        <v>3.7599999999999998E-4</v>
      </c>
      <c r="C47" s="167"/>
      <c r="D47" s="167"/>
      <c r="E47" s="167"/>
      <c r="F47" s="167"/>
      <c r="G47" s="167"/>
      <c r="H47" s="167"/>
      <c r="I47" s="167"/>
      <c r="J47" s="88" t="s">
        <v>83</v>
      </c>
      <c r="K47" s="110" t="s">
        <v>956</v>
      </c>
    </row>
    <row r="48" spans="1:11" ht="12.9" customHeight="1">
      <c r="A48" s="260">
        <v>6</v>
      </c>
      <c r="B48" s="267" t="s">
        <v>962</v>
      </c>
      <c r="C48" s="277" t="s">
        <v>1062</v>
      </c>
      <c r="D48" s="277" t="s">
        <v>1063</v>
      </c>
      <c r="E48" s="147" t="s">
        <v>969</v>
      </c>
      <c r="F48" s="268" t="s">
        <v>963</v>
      </c>
      <c r="G48" s="268"/>
      <c r="H48" s="148" t="s">
        <v>964</v>
      </c>
      <c r="I48" s="269" t="s">
        <v>1064</v>
      </c>
      <c r="J48" s="88">
        <f>Kalk!AH23</f>
        <v>0</v>
      </c>
      <c r="K48" s="150" t="str">
        <f>IF(AND(J48&gt;=$M$3,J48&lt;=$N$3), ($O$3/J48 ),         IF(AND(J48&gt;=$M$4,J48&lt;=$N$4), ($O$4/I50), IF(AND(J48&gt;=$M$5,J48&lt;=$N$5),  ($O$5/I50),    IF(AND(J48&gt;=$M$6,J48&lt;=$N$6),  ($O$6/I50),  ""))))</f>
        <v/>
      </c>
    </row>
    <row r="49" spans="1:11" ht="13.2">
      <c r="A49" s="260"/>
      <c r="B49" s="267"/>
      <c r="C49" s="277"/>
      <c r="D49" s="277"/>
      <c r="E49" s="147" t="str">
        <f>Kalk!B23</f>
        <v xml:space="preserve"> </v>
      </c>
      <c r="F49" s="147">
        <f ca="1">Kalk!I24</f>
        <v>47</v>
      </c>
      <c r="G49" s="147">
        <f ca="1">Kalk!I26</f>
        <v>8</v>
      </c>
      <c r="H49" s="147" t="str">
        <f>Kalk!B24</f>
        <v>F0201</v>
      </c>
      <c r="I49" s="269"/>
      <c r="J49" s="88">
        <f>Kalk!AH24</f>
        <v>0</v>
      </c>
      <c r="K49" s="150" t="str">
        <f>IF(AND(J49&gt;=$M$3,J49&lt;=$N$3), ($O$3/J49 ),         IF(AND(J49&gt;=$M$4,J49&lt;=$N$4), ($O$4/I50), IF(AND(J49&gt;=$M$5,J49&lt;=$N$5),  ($O$5/I50),    IF(AND(J49&gt;=$M$6,J49&lt;=$N$6),  ($O$6/I50),  ""))))</f>
        <v/>
      </c>
    </row>
    <row r="50" spans="1:11" ht="13.2">
      <c r="A50" s="260"/>
      <c r="B50" s="153">
        <f ca="1">IF(OR(C50=1,D50=1),1,0)</f>
        <v>0</v>
      </c>
      <c r="C50" s="88">
        <f ca="1">IF(SUM(E50:G50)=3,1,0)</f>
        <v>0</v>
      </c>
      <c r="D50" s="88">
        <f ca="1">IF(SUM(E50+F51+G51)=3,1,   0)</f>
        <v>0</v>
      </c>
      <c r="E50" s="88">
        <f>IF(E49="Die cut",1,0)</f>
        <v>0</v>
      </c>
      <c r="F50" s="88">
        <f ca="1">IF((F49&gt;=650)*AND(F49&lt;=1620),1,0)</f>
        <v>0</v>
      </c>
      <c r="G50" s="88">
        <f ca="1">IF((G49&gt;=450)*AND(G49&lt;=1200),1,0)</f>
        <v>0</v>
      </c>
      <c r="H50" s="88">
        <f>IF(OR(H49="F0200",H49="F0201",H49="F0202",H49="F0203",H49="F0201-F0203",H49="F0200-F0203",H49="F0451",H49="F0501",H49="F0711",H49="F0713"),1,0)</f>
        <v>1</v>
      </c>
      <c r="I50" s="154">
        <f>Kalk!J50*Kalk!J51</f>
        <v>0</v>
      </c>
      <c r="J50" s="88">
        <f>Kalk!AH25</f>
        <v>0</v>
      </c>
      <c r="K50" s="150" t="str">
        <f>IF(AND(J50&gt;=$M$3,J50&lt;=$N$3), ($O$3/J50 ),         IF(AND(J50&gt;=$M$4,J50&lt;=$N$4), ($O$4/I50), IF(AND(J50&gt;=$M$5,J50&lt;=$N$5),  ($O$5/I50),    IF(AND(J50&gt;=$M$6,J50&lt;=$N$6),  ($O$6/I50),  ""))))</f>
        <v/>
      </c>
    </row>
    <row r="51" spans="1:11" ht="12.9" customHeight="1">
      <c r="A51" s="260"/>
      <c r="B51" s="275" t="s">
        <v>968</v>
      </c>
      <c r="C51" s="6"/>
      <c r="D51" s="6"/>
      <c r="E51" s="6"/>
      <c r="F51" s="88">
        <f ca="1">IF((F49&gt;=450)*AND(F49&lt;=1200),1,0)</f>
        <v>0</v>
      </c>
      <c r="G51" s="88">
        <f ca="1">IF((G49&gt;=650)*AND(G49&lt;=1620),1,0)</f>
        <v>0</v>
      </c>
      <c r="H51" s="269" t="s">
        <v>970</v>
      </c>
      <c r="I51" s="269"/>
      <c r="J51" s="88">
        <f>Kalk!AH26</f>
        <v>0</v>
      </c>
      <c r="K51" s="150" t="str">
        <f>IF(AND(J51&gt;=$M$3,J51&lt;=$N$3), ($O$3/J51 ),         IF(AND(J51&gt;=$M$4,J51&lt;=$N$4), ($O$4/I50), IF(AND(J51&gt;=$M$5,J51&lt;=$N$5),  ($O$5/I50),    IF(AND(J51&gt;=$M$6,J51&lt;=$N$6),  ($O$6/I50),  ""))))</f>
        <v/>
      </c>
    </row>
    <row r="52" spans="1:11" ht="13.2">
      <c r="A52" s="260"/>
      <c r="B52" s="275"/>
      <c r="C52" s="155"/>
      <c r="D52" s="155"/>
      <c r="F52" s="156"/>
      <c r="G52" s="156"/>
      <c r="H52" s="269"/>
      <c r="I52" s="269"/>
      <c r="J52" s="6"/>
      <c r="K52" s="157"/>
    </row>
    <row r="53" spans="1:11" ht="13.2">
      <c r="A53" s="260"/>
      <c r="B53" s="158">
        <f ca="1">Kalk!J23</f>
        <v>3.7599999999999998E-4</v>
      </c>
      <c r="C53" s="123"/>
      <c r="D53" s="123"/>
      <c r="E53" s="159"/>
      <c r="F53" s="6"/>
      <c r="G53" s="6"/>
      <c r="H53" s="154">
        <f ca="1">IF(Kalk!N23="ETERNA",1,0)</f>
        <v>0</v>
      </c>
      <c r="I53" s="154"/>
      <c r="J53" s="160"/>
      <c r="K53" s="161"/>
    </row>
    <row r="54" spans="1:11" ht="13.2">
      <c r="A54" s="260"/>
      <c r="B54" s="158">
        <f ca="1">Kalk!J23</f>
        <v>3.7599999999999998E-4</v>
      </c>
      <c r="C54" s="123"/>
      <c r="D54" s="123"/>
      <c r="E54" s="159"/>
      <c r="F54" s="6"/>
      <c r="G54" s="6"/>
      <c r="H54" s="6"/>
      <c r="I54" s="154"/>
      <c r="J54" s="160"/>
      <c r="K54" s="161"/>
    </row>
    <row r="55" spans="1:11" ht="13.2">
      <c r="A55" s="260"/>
      <c r="B55" s="158">
        <f ca="1">Kalk!J23</f>
        <v>3.7599999999999998E-4</v>
      </c>
      <c r="C55" s="123"/>
      <c r="D55" s="123"/>
      <c r="E55" s="159"/>
      <c r="F55" s="6"/>
      <c r="G55" s="6"/>
      <c r="H55" s="6"/>
      <c r="I55" s="6"/>
      <c r="J55" s="166"/>
    </row>
    <row r="56" spans="1:11" ht="13.2">
      <c r="B56" s="158">
        <f ca="1">Kalk!J23</f>
        <v>3.7599999999999998E-4</v>
      </c>
      <c r="C56" s="167"/>
      <c r="D56" s="167"/>
      <c r="E56" s="167"/>
      <c r="F56" s="167"/>
      <c r="G56" s="167"/>
      <c r="H56" s="167"/>
      <c r="I56" s="167"/>
      <c r="J56" s="88" t="s">
        <v>83</v>
      </c>
      <c r="K56" s="110" t="s">
        <v>956</v>
      </c>
    </row>
    <row r="57" spans="1:11" ht="12.9" customHeight="1">
      <c r="A57" s="260">
        <v>7</v>
      </c>
      <c r="B57" s="267" t="s">
        <v>962</v>
      </c>
      <c r="C57" s="277" t="s">
        <v>1062</v>
      </c>
      <c r="D57" s="277" t="s">
        <v>1063</v>
      </c>
      <c r="E57" s="147" t="s">
        <v>969</v>
      </c>
      <c r="F57" s="268" t="s">
        <v>963</v>
      </c>
      <c r="G57" s="268"/>
      <c r="H57" s="148" t="s">
        <v>964</v>
      </c>
      <c r="I57" s="269" t="s">
        <v>1064</v>
      </c>
      <c r="J57" s="88">
        <f>Kalk!AH27</f>
        <v>0</v>
      </c>
      <c r="K57" s="150" t="str">
        <f>IF(AND(J57&gt;=$M$3,J57&lt;=$N$3), ($O$3/J57 ),         IF(AND(J57&gt;=$M$4,J57&lt;=$N$4), ($O$4/I59), IF(AND(J57&gt;=$M$5,J57&lt;=$N$5),  ($O$5/I59),    IF(AND(J57&gt;=$M$6,J57&lt;=$N$6),  ($O$6/I59),  ""))))</f>
        <v/>
      </c>
    </row>
    <row r="58" spans="1:11" ht="13.2">
      <c r="A58" s="260"/>
      <c r="B58" s="267"/>
      <c r="C58" s="277"/>
      <c r="D58" s="277"/>
      <c r="E58" s="147" t="str">
        <f>Kalk!B27</f>
        <v xml:space="preserve"> </v>
      </c>
      <c r="F58" s="147">
        <f ca="1">Kalk!I28</f>
        <v>47</v>
      </c>
      <c r="G58" s="147">
        <f ca="1">Kalk!I30</f>
        <v>8</v>
      </c>
      <c r="H58" s="147" t="str">
        <f>Kalk!B28</f>
        <v>F0201</v>
      </c>
      <c r="I58" s="269"/>
      <c r="J58" s="88">
        <f>Kalk!AH28</f>
        <v>0</v>
      </c>
      <c r="K58" s="150" t="str">
        <f>IF(AND(J58&gt;=$M$3,J58&lt;=$N$3), ($O$3/J58 ),         IF(AND(J58&gt;=$M$4,J58&lt;=$N$4), ($O$4/I59), IF(AND(J58&gt;=$M$5,J58&lt;=$N$5),  ($O$5/I59),    IF(AND(J58&gt;=$M$6,J58&lt;=$N$6),  ($O$6/I59),  ""))))</f>
        <v/>
      </c>
    </row>
    <row r="59" spans="1:11" ht="13.2">
      <c r="A59" s="260"/>
      <c r="B59" s="153">
        <f ca="1">IF(OR(C59=1,D59=1),1,0)</f>
        <v>0</v>
      </c>
      <c r="C59" s="88">
        <f ca="1">IF(SUM(E59:G59)=3,1,0)</f>
        <v>0</v>
      </c>
      <c r="D59" s="88">
        <f ca="1">IF(SUM(E59+F60+G60)=3,1,   0)</f>
        <v>0</v>
      </c>
      <c r="E59" s="88">
        <f>IF(E58="Die cut",1,0)</f>
        <v>0</v>
      </c>
      <c r="F59" s="88">
        <f ca="1">IF((F58&gt;=650)*AND(F58&lt;=1620),1,0)</f>
        <v>0</v>
      </c>
      <c r="G59" s="88">
        <f ca="1">IF((G58&gt;=450)*AND(G58&lt;=1200),1,0)</f>
        <v>0</v>
      </c>
      <c r="H59" s="88">
        <f>IF(OR(H58="F0200",H58="F0201",H58="F0202",H58="F0203",H58="F0201-F0203",H58="F0200-F0203",H58="F0451",H58="F0501",H58="F0711",H58="F0713"),1,0)</f>
        <v>1</v>
      </c>
      <c r="I59" s="154">
        <f>Kalk!J59*Kalk!J60</f>
        <v>0</v>
      </c>
      <c r="J59" s="88">
        <f>Kalk!AH29</f>
        <v>0</v>
      </c>
      <c r="K59" s="150" t="str">
        <f>IF(AND(J59&gt;=$M$3,J59&lt;=$N$3), ($O$3/J59 ),         IF(AND(J59&gt;=$M$4,J59&lt;=$N$4), ($O$4/I59), IF(AND(J59&gt;=$M$5,J59&lt;=$N$5),  ($O$5/I59),    IF(AND(J59&gt;=$M$6,J59&lt;=$N$6),  ($O$6/I59),  ""))))</f>
        <v/>
      </c>
    </row>
    <row r="60" spans="1:11" ht="12.9" customHeight="1">
      <c r="A60" s="260"/>
      <c r="B60" s="275" t="s">
        <v>968</v>
      </c>
      <c r="C60" s="6"/>
      <c r="D60" s="6"/>
      <c r="E60" s="6"/>
      <c r="F60" s="88">
        <f ca="1">IF((F58&gt;=450)*AND(F58&lt;=1200),1,0)</f>
        <v>0</v>
      </c>
      <c r="G60" s="88">
        <f ca="1">IF((G58&gt;=650)*AND(G58&lt;=1620),1,0)</f>
        <v>0</v>
      </c>
      <c r="H60" s="269" t="s">
        <v>970</v>
      </c>
      <c r="I60" s="269"/>
      <c r="J60" s="88">
        <f>Kalk!AH30</f>
        <v>0</v>
      </c>
      <c r="K60" s="150" t="str">
        <f>IF(AND(J60&gt;=$M$3,J60&lt;=$N$3), ($O$3/J60 ),         IF(AND(J60&gt;=$M$4,J60&lt;=$N$4), ($O$4/I59), IF(AND(J60&gt;=$M$5,J60&lt;=$N$5),  ($O$5/I59),    IF(AND(J60&gt;=$M$6,J60&lt;=$N$6),  ($O$6/I59),  ""))))</f>
        <v/>
      </c>
    </row>
    <row r="61" spans="1:11" ht="13.2">
      <c r="A61" s="260"/>
      <c r="B61" s="275"/>
      <c r="C61" s="155"/>
      <c r="D61" s="155"/>
      <c r="F61" s="156"/>
      <c r="G61" s="156"/>
      <c r="H61" s="269"/>
      <c r="I61" s="269"/>
      <c r="J61" s="6"/>
      <c r="K61" s="157"/>
    </row>
    <row r="62" spans="1:11" ht="13.2">
      <c r="A62" s="260"/>
      <c r="B62" s="158">
        <f ca="1">Kalk!J27</f>
        <v>3.7599999999999998E-4</v>
      </c>
      <c r="C62" s="123"/>
      <c r="D62" s="123"/>
      <c r="E62" s="159"/>
      <c r="F62" s="6"/>
      <c r="G62" s="6"/>
      <c r="H62" s="154">
        <f ca="1">IF(Kalk!N27="ETERNA",1,0)</f>
        <v>0</v>
      </c>
      <c r="I62" s="154"/>
      <c r="J62" s="160"/>
      <c r="K62" s="161"/>
    </row>
    <row r="63" spans="1:11" ht="13.2">
      <c r="A63" s="260"/>
      <c r="B63" s="158">
        <f ca="1">Kalk!J27</f>
        <v>3.7599999999999998E-4</v>
      </c>
      <c r="C63" s="123"/>
      <c r="D63" s="123"/>
      <c r="E63" s="159"/>
      <c r="F63" s="6"/>
      <c r="G63" s="6"/>
      <c r="H63" s="6"/>
      <c r="I63" s="154"/>
      <c r="J63" s="160"/>
      <c r="K63" s="161"/>
    </row>
    <row r="64" spans="1:11" ht="13.2">
      <c r="A64" s="260"/>
      <c r="B64" s="158">
        <f ca="1">Kalk!J27</f>
        <v>3.7599999999999998E-4</v>
      </c>
      <c r="C64" s="123"/>
      <c r="D64" s="123"/>
      <c r="E64" s="168"/>
      <c r="F64" s="166"/>
      <c r="G64" s="166"/>
      <c r="H64" s="166"/>
      <c r="I64" s="169"/>
      <c r="J64" s="166"/>
    </row>
    <row r="65" spans="1:11" ht="13.2">
      <c r="B65" s="158">
        <f>Kalk!J37</f>
        <v>1</v>
      </c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</row>
    <row r="66" spans="1:11" ht="12.9" customHeight="1">
      <c r="A66" s="260">
        <v>8</v>
      </c>
      <c r="B66" s="267" t="s">
        <v>962</v>
      </c>
      <c r="C66" s="277" t="s">
        <v>1062</v>
      </c>
      <c r="D66" s="277" t="s">
        <v>1063</v>
      </c>
      <c r="E66" s="147" t="s">
        <v>969</v>
      </c>
      <c r="F66" s="268" t="s">
        <v>963</v>
      </c>
      <c r="G66" s="268"/>
      <c r="H66" s="148" t="s">
        <v>964</v>
      </c>
      <c r="I66" s="269" t="s">
        <v>1064</v>
      </c>
      <c r="J66" s="88">
        <f>Kalk!AH31</f>
        <v>0</v>
      </c>
      <c r="K66" s="150" t="str">
        <f>IF(AND(J66&gt;=$M$3,J66&lt;=$N$3), ($O$3/J66 ),         IF(AND(J66&gt;=$M$4,J66&lt;=$N$4), ($O$4/I68), IF(AND(J66&gt;=$M$5,J66&lt;=$N$5),  ($O$5/I68),    IF(AND(J66&gt;=$M$6,J66&lt;=$N$6),  ($O$6/I68),  ""))))</f>
        <v/>
      </c>
    </row>
    <row r="67" spans="1:11" ht="13.2">
      <c r="A67" s="260"/>
      <c r="B67" s="267"/>
      <c r="C67" s="277"/>
      <c r="D67" s="277"/>
      <c r="E67" s="147" t="str">
        <f>Kalk!B31</f>
        <v xml:space="preserve"> </v>
      </c>
      <c r="F67" s="147">
        <f ca="1">Kalk!I32</f>
        <v>47</v>
      </c>
      <c r="G67" s="147">
        <f ca="1">Kalk!I34</f>
        <v>8</v>
      </c>
      <c r="H67" s="147" t="str">
        <f>Kalk!B32</f>
        <v>F0201</v>
      </c>
      <c r="I67" s="269"/>
      <c r="J67" s="88">
        <f>Kalk!AH32</f>
        <v>0</v>
      </c>
      <c r="K67" s="150" t="str">
        <f>IF(AND(J67&gt;=$M$3,J67&lt;=$N$3), ($O$3/J67 ),         IF(AND(J67&gt;=$M$4,J67&lt;=$N$4), ($O$4/I68), IF(AND(J67&gt;=$M$5,J67&lt;=$N$5),  ($O$5/I68),    IF(AND(J67&gt;=$M$6,J67&lt;=$N$6),  ($O$6/I68),  ""))))</f>
        <v/>
      </c>
    </row>
    <row r="68" spans="1:11" ht="13.2">
      <c r="A68" s="260"/>
      <c r="B68" s="153">
        <f ca="1">IF(OR(C68=1,D68=1),1,0)</f>
        <v>0</v>
      </c>
      <c r="C68" s="88">
        <f ca="1">IF(SUM(E68:G68)=3,1,0)</f>
        <v>0</v>
      </c>
      <c r="D68" s="88">
        <f ca="1">IF(SUM(E68+F69+G69)=3,1,   0)</f>
        <v>0</v>
      </c>
      <c r="E68" s="88">
        <f>IF(E67="Die cut",1,0)</f>
        <v>0</v>
      </c>
      <c r="F68" s="88">
        <f ca="1">IF((F67&gt;=650)*AND(F67&lt;=1620),1,0)</f>
        <v>0</v>
      </c>
      <c r="G68" s="88">
        <f ca="1">IF((G67&gt;=450)*AND(G67&lt;=1200),1,0)</f>
        <v>0</v>
      </c>
      <c r="H68" s="88">
        <f>IF(OR(H67="F0200",H67="F0201",H67="F0202",H67="F0203",H67="F0201-F0203",H67="F0200-F0203",H67="F0451",H67="F0501",H67="F0711",H67="F0713"),1,0)</f>
        <v>1</v>
      </c>
      <c r="I68" s="154">
        <f>Kalk!J68*Kalk!J69</f>
        <v>0</v>
      </c>
      <c r="J68" s="88">
        <f>Kalk!AH33</f>
        <v>0</v>
      </c>
      <c r="K68" s="150" t="str">
        <f>IF(AND(J68&gt;=$M$3,J68&lt;=$N$3), ($O$3/J68 ),         IF(AND(J68&gt;=$M$4,J68&lt;=$N$4), ($O$4/I68), IF(AND(J68&gt;=$M$5,J68&lt;=$N$5),  ($O$5/I68),    IF(AND(J68&gt;=$M$6,J68&lt;=$N$6),  ($O$6/I68),  ""))))</f>
        <v/>
      </c>
    </row>
    <row r="69" spans="1:11" ht="12.9" customHeight="1">
      <c r="A69" s="260"/>
      <c r="B69" s="275" t="s">
        <v>968</v>
      </c>
      <c r="C69" s="6"/>
      <c r="D69" s="6"/>
      <c r="E69" s="6"/>
      <c r="F69" s="88">
        <f ca="1">IF((F67&gt;=450)*AND(F67&lt;=1200),1,0)</f>
        <v>0</v>
      </c>
      <c r="G69" s="88">
        <f ca="1">IF((G67&gt;=650)*AND(G67&lt;=1620),1,0)</f>
        <v>0</v>
      </c>
      <c r="H69" s="269" t="s">
        <v>970</v>
      </c>
      <c r="I69" s="269"/>
      <c r="J69" s="88">
        <f>Kalk!AH34</f>
        <v>0</v>
      </c>
      <c r="K69" s="150" t="str">
        <f>IF(AND(J69&gt;=$M$3,J69&lt;=$N$3), ($O$3/J69 ),         IF(AND(J69&gt;=$M$4,J69&lt;=$N$4), ($O$4/I68), IF(AND(J69&gt;=$M$5,J69&lt;=$N$5),  ($O$5/I68),    IF(AND(J69&gt;=$M$6,J69&lt;=$N$6),  ($O$6/I68),  ""))))</f>
        <v/>
      </c>
    </row>
    <row r="70" spans="1:11" ht="13.2">
      <c r="A70" s="260"/>
      <c r="B70" s="275"/>
      <c r="C70" s="155"/>
      <c r="D70" s="155"/>
      <c r="F70" s="156"/>
      <c r="G70" s="156"/>
      <c r="H70" s="269"/>
      <c r="I70" s="269"/>
      <c r="J70" s="6"/>
      <c r="K70" s="157"/>
    </row>
    <row r="71" spans="1:11" ht="13.2">
      <c r="A71" s="260"/>
      <c r="B71" s="158">
        <f ca="1">Kalk!J31</f>
        <v>3.7599999999999998E-4</v>
      </c>
      <c r="C71" s="123"/>
      <c r="D71" s="123"/>
      <c r="E71" s="159"/>
      <c r="F71" s="6"/>
      <c r="G71" s="6"/>
      <c r="H71" s="154">
        <f ca="1">IF(Kalk!N31="ETERNA",1,0)</f>
        <v>0</v>
      </c>
      <c r="I71" s="154"/>
      <c r="J71" s="160"/>
      <c r="K71" s="161"/>
    </row>
    <row r="72" spans="1:11" ht="13.2">
      <c r="A72" s="260"/>
      <c r="B72" s="158">
        <f ca="1">Kalk!J31</f>
        <v>3.7599999999999998E-4</v>
      </c>
      <c r="C72" s="123"/>
      <c r="D72" s="123"/>
      <c r="E72" s="159"/>
      <c r="F72" s="6"/>
      <c r="G72" s="6"/>
      <c r="H72" s="6"/>
      <c r="I72" s="154"/>
      <c r="J72" s="160"/>
      <c r="K72" s="161"/>
    </row>
    <row r="73" spans="1:11" ht="13.2">
      <c r="A73" s="260"/>
      <c r="B73" s="158">
        <f ca="1">Kalk!J31</f>
        <v>3.7599999999999998E-4</v>
      </c>
      <c r="C73" s="123"/>
      <c r="D73" s="123"/>
      <c r="E73" s="168"/>
      <c r="F73" s="166"/>
      <c r="G73" s="166"/>
      <c r="H73" s="166"/>
      <c r="I73" s="169"/>
      <c r="J73" s="166"/>
    </row>
    <row r="74" spans="1:11" ht="13.2">
      <c r="B74" s="158">
        <f ca="1">Kalk!J31</f>
        <v>3.7599999999999998E-4</v>
      </c>
      <c r="C74" s="167"/>
      <c r="D74" s="167"/>
      <c r="E74" s="167"/>
      <c r="F74" s="167"/>
      <c r="G74" s="167"/>
      <c r="H74" s="167"/>
      <c r="I74" s="167"/>
      <c r="J74" s="88" t="s">
        <v>83</v>
      </c>
      <c r="K74" s="110" t="s">
        <v>956</v>
      </c>
    </row>
    <row r="75" spans="1:11" ht="12.9" customHeight="1">
      <c r="A75" s="260">
        <v>9</v>
      </c>
      <c r="B75" s="267" t="s">
        <v>962</v>
      </c>
      <c r="C75" s="277" t="s">
        <v>1062</v>
      </c>
      <c r="D75" s="277" t="s">
        <v>1063</v>
      </c>
      <c r="E75" s="147" t="s">
        <v>969</v>
      </c>
      <c r="F75" s="268" t="s">
        <v>963</v>
      </c>
      <c r="G75" s="268"/>
      <c r="H75" s="148" t="s">
        <v>964</v>
      </c>
      <c r="I75" s="269" t="s">
        <v>1064</v>
      </c>
      <c r="J75" s="88">
        <f>Kalk!AH35</f>
        <v>0</v>
      </c>
      <c r="K75" s="150" t="str">
        <f>IF(AND(J75&gt;=$M$3,J75&lt;=$N$3), ($O$3/J75 ),         IF(AND(J75&gt;=$M$4,J75&lt;=$N$4), ($O$4/I77), IF(AND(J75&gt;=$M$5,J75&lt;=$N$5),  ($O$5/I77),    IF(AND(J75&gt;=$M$6,J75&lt;=$N$6),  ($O$6/I77),  ""))))</f>
        <v/>
      </c>
    </row>
    <row r="76" spans="1:11" ht="13.2">
      <c r="A76" s="260"/>
      <c r="B76" s="267"/>
      <c r="C76" s="277"/>
      <c r="D76" s="277"/>
      <c r="E76" s="147" t="str">
        <f>Kalk!B35</f>
        <v xml:space="preserve"> </v>
      </c>
      <c r="F76" s="147">
        <f ca="1">Kalk!I36</f>
        <v>47</v>
      </c>
      <c r="G76" s="147">
        <f ca="1">Kalk!I38</f>
        <v>8</v>
      </c>
      <c r="H76" s="147" t="str">
        <f>Kalk!B36</f>
        <v>F0201</v>
      </c>
      <c r="I76" s="269"/>
      <c r="J76" s="88">
        <f>Kalk!AH36</f>
        <v>0</v>
      </c>
      <c r="K76" s="150" t="str">
        <f>IF(AND(J76&gt;=$M$3,J76&lt;=$N$3), ($O$3/J76 ),         IF(AND(J76&gt;=$M$4,J76&lt;=$N$4), ($O$4/I77), IF(AND(J76&gt;=$M$5,J76&lt;=$N$5),  ($O$5/I77),    IF(AND(J76&gt;=$M$6,J76&lt;=$N$6),  ($O$6/I77),  ""))))</f>
        <v/>
      </c>
    </row>
    <row r="77" spans="1:11" ht="13.2">
      <c r="A77" s="260"/>
      <c r="B77" s="153">
        <f ca="1">IF(OR(C77=1,D77=1),1,0)</f>
        <v>0</v>
      </c>
      <c r="C77" s="88">
        <f ca="1">IF(SUM(E77:G77)=3,1,0)</f>
        <v>0</v>
      </c>
      <c r="D77" s="88">
        <f ca="1">IF(SUM(E77+F78+G78)=3,1,   0)</f>
        <v>0</v>
      </c>
      <c r="E77" s="88">
        <f>IF(E76="Die cut",1,0)</f>
        <v>0</v>
      </c>
      <c r="F77" s="88">
        <f ca="1">IF((F76&gt;=650)*AND(F76&lt;=1620),1,0)</f>
        <v>0</v>
      </c>
      <c r="G77" s="88">
        <f ca="1">IF((G76&gt;=450)*AND(G76&lt;=1200),1,0)</f>
        <v>0</v>
      </c>
      <c r="H77" s="88">
        <f>IF(OR(H76="F0200",H76="F0201",H76="F0202",H76="F0203",H76="F0201-F0203",H76="F0200-F0203",H76="F0451",H76="F0501",H76="F0711",H76="F0713"),1,0)</f>
        <v>1</v>
      </c>
      <c r="I77" s="154">
        <f>Kalk!J77*Kalk!J78</f>
        <v>0</v>
      </c>
      <c r="J77" s="88">
        <f>Kalk!AH37</f>
        <v>0</v>
      </c>
      <c r="K77" s="150" t="str">
        <f>IF(AND(J77&gt;=$M$3,J77&lt;=$N$3), ($O$3/J77 ),         IF(AND(J77&gt;=$M$4,J77&lt;=$N$4), ($O$4/I77), IF(AND(J77&gt;=$M$5,J77&lt;=$N$5),  ($O$5/I77),    IF(AND(J77&gt;=$M$6,J77&lt;=$N$6),  ($O$6/I77),  ""))))</f>
        <v/>
      </c>
    </row>
    <row r="78" spans="1:11" ht="12.9" customHeight="1">
      <c r="A78" s="260"/>
      <c r="B78" s="275" t="s">
        <v>968</v>
      </c>
      <c r="C78" s="6"/>
      <c r="D78" s="6"/>
      <c r="E78" s="6"/>
      <c r="F78" s="88">
        <f ca="1">IF((F76&gt;=450)*AND(F76&lt;=1200),1,0)</f>
        <v>0</v>
      </c>
      <c r="G78" s="88">
        <f ca="1">IF((G76&gt;=650)*AND(G76&lt;=1620),1,0)</f>
        <v>0</v>
      </c>
      <c r="H78" s="269" t="s">
        <v>970</v>
      </c>
      <c r="I78" s="269"/>
      <c r="J78" s="88">
        <f>Kalk!AH38</f>
        <v>0</v>
      </c>
      <c r="K78" s="150" t="str">
        <f>IF(AND(J78&gt;=$M$3,J78&lt;=$N$3), ($O$3/J78 ),         IF(AND(J78&gt;=$M$4,J78&lt;=$N$4), ($O$4/I77), IF(AND(J78&gt;=$M$5,J78&lt;=$N$5),  ($O$5/I77),    IF(AND(J78&gt;=$M$6,J78&lt;=$N$6),  ($O$6/I77),  ""))))</f>
        <v/>
      </c>
    </row>
    <row r="79" spans="1:11" ht="13.2">
      <c r="A79" s="260"/>
      <c r="B79" s="275"/>
      <c r="C79" s="155"/>
      <c r="D79" s="155"/>
      <c r="F79" s="156"/>
      <c r="G79" s="156"/>
      <c r="H79" s="269"/>
      <c r="I79" s="269"/>
      <c r="J79" s="6"/>
      <c r="K79" s="157"/>
    </row>
    <row r="80" spans="1:11" ht="13.2">
      <c r="A80" s="260"/>
      <c r="B80" s="158">
        <f ca="1">Kalk!J35</f>
        <v>3.7599999999999998E-4</v>
      </c>
      <c r="C80" s="123"/>
      <c r="D80" s="123"/>
      <c r="E80" s="159"/>
      <c r="F80" s="6"/>
      <c r="G80" s="6"/>
      <c r="H80" s="154">
        <f ca="1">IF(Kalk!N35="ETERNA",1,0)</f>
        <v>0</v>
      </c>
      <c r="I80" s="154"/>
      <c r="J80" s="160"/>
      <c r="K80" s="161"/>
    </row>
    <row r="81" spans="1:11" ht="13.2">
      <c r="A81" s="260"/>
      <c r="B81" s="158">
        <f ca="1">Kalk!J35</f>
        <v>3.7599999999999998E-4</v>
      </c>
      <c r="C81" s="123"/>
      <c r="D81" s="123"/>
      <c r="E81" s="159"/>
      <c r="F81" s="6"/>
      <c r="G81" s="6"/>
      <c r="H81" s="6"/>
      <c r="I81" s="154"/>
      <c r="J81" s="160"/>
      <c r="K81" s="161"/>
    </row>
    <row r="82" spans="1:11" ht="13.2">
      <c r="A82" s="260"/>
      <c r="B82" s="158">
        <f ca="1">Kalk!J35</f>
        <v>3.7599999999999998E-4</v>
      </c>
      <c r="C82" s="123"/>
      <c r="D82" s="123"/>
      <c r="E82" s="168"/>
      <c r="F82" s="166"/>
      <c r="G82" s="166"/>
      <c r="H82" s="166"/>
      <c r="I82" s="169"/>
      <c r="J82" s="166"/>
    </row>
    <row r="83" spans="1:11" ht="13.2">
      <c r="B83" s="158">
        <f ca="1">Kalk!J35</f>
        <v>3.7599999999999998E-4</v>
      </c>
      <c r="C83" s="167"/>
      <c r="D83" s="167"/>
      <c r="E83" s="167"/>
      <c r="F83" s="167"/>
      <c r="G83" s="167"/>
      <c r="H83" s="167"/>
      <c r="I83" s="167"/>
      <c r="J83" s="88" t="s">
        <v>83</v>
      </c>
      <c r="K83" s="110" t="s">
        <v>956</v>
      </c>
    </row>
    <row r="84" spans="1:11" ht="12.9" customHeight="1">
      <c r="A84" s="260">
        <v>10</v>
      </c>
      <c r="B84" s="267" t="s">
        <v>962</v>
      </c>
      <c r="C84" s="277" t="s">
        <v>1062</v>
      </c>
      <c r="D84" s="277" t="s">
        <v>1063</v>
      </c>
      <c r="E84" s="147" t="s">
        <v>969</v>
      </c>
      <c r="F84" s="268" t="s">
        <v>963</v>
      </c>
      <c r="G84" s="268"/>
      <c r="H84" s="148" t="s">
        <v>964</v>
      </c>
      <c r="I84" s="269" t="s">
        <v>1064</v>
      </c>
      <c r="J84" s="88">
        <f>Kalk!AH39</f>
        <v>0</v>
      </c>
      <c r="K84" s="150" t="str">
        <f>IF(AND(J84&gt;=$M$3,J84&lt;=$N$3), ($O$3/J84 ),         IF(AND(J84&gt;=$M$4,J84&lt;=$N$4), ($O$4/I86), IF(AND(J84&gt;=$M$5,J84&lt;=$N$5),  ($O$5/I86),    IF(AND(J84&gt;=$M$6,J84&lt;=$N$6),  ($O$6/I86),  ""))))</f>
        <v/>
      </c>
    </row>
    <row r="85" spans="1:11" ht="13.2">
      <c r="A85" s="260"/>
      <c r="B85" s="267"/>
      <c r="C85" s="277"/>
      <c r="D85" s="277"/>
      <c r="E85" s="147" t="str">
        <f>Kalk!B39</f>
        <v xml:space="preserve"> </v>
      </c>
      <c r="F85" s="147">
        <f ca="1">Kalk!I40</f>
        <v>47</v>
      </c>
      <c r="G85" s="147">
        <f ca="1">Kalk!I42</f>
        <v>8</v>
      </c>
      <c r="H85" s="147" t="str">
        <f>Kalk!B40</f>
        <v>F0201</v>
      </c>
      <c r="I85" s="269"/>
      <c r="J85" s="88">
        <f>Kalk!AH40</f>
        <v>0</v>
      </c>
      <c r="K85" s="150" t="str">
        <f>IF(AND(J85&gt;=$M$3,J85&lt;=$N$3), ($O$3/J85 ),         IF(AND(J85&gt;=$M$4,J85&lt;=$N$4), ($O$4/I86), IF(AND(J85&gt;=$M$5,J85&lt;=$N$5),  ($O$5/I86),    IF(AND(J85&gt;=$M$6,J85&lt;=$N$6),  ($O$6/I86),  ""))))</f>
        <v/>
      </c>
    </row>
    <row r="86" spans="1:11" ht="13.2">
      <c r="A86" s="260"/>
      <c r="B86" s="153">
        <f ca="1">IF(OR(C86=1,D86=1),1,0)</f>
        <v>0</v>
      </c>
      <c r="C86" s="88">
        <f ca="1">IF(SUM(E86:G86)=3,1,0)</f>
        <v>0</v>
      </c>
      <c r="D86" s="88">
        <f ca="1">IF(SUM(E86+F87+G87)=3,1,   0)</f>
        <v>0</v>
      </c>
      <c r="E86" s="88">
        <f>IF(E85="Die cut",1,0)</f>
        <v>0</v>
      </c>
      <c r="F86" s="88">
        <f ca="1">IF((F85&gt;=650)*AND(F85&lt;=1620),1,0)</f>
        <v>0</v>
      </c>
      <c r="G86" s="88">
        <f ca="1">IF((G85&gt;=450)*AND(G85&lt;=1200),1,0)</f>
        <v>0</v>
      </c>
      <c r="H86" s="88">
        <f>IF(OR(H85="F0200",H85="F0201",H85="F0202",H85="F0203",H85="F0201-F0203",H85="F0200-F0203",H85="F0451",H85="F0501",H85="F0711",H85="F0713"),1,0)</f>
        <v>1</v>
      </c>
      <c r="I86" s="154">
        <f>Kalk!J86*Kalk!J87</f>
        <v>0</v>
      </c>
      <c r="J86" s="88">
        <f>Kalk!AH41</f>
        <v>0</v>
      </c>
      <c r="K86" s="150" t="str">
        <f>IF(AND(J86&gt;=$M$3,J86&lt;=$N$3), ($O$3/J86 ),         IF(AND(J86&gt;=$M$4,J86&lt;=$N$4), ($O$4/I86), IF(AND(J86&gt;=$M$5,J86&lt;=$N$5),  ($O$5/I86),    IF(AND(J86&gt;=$M$6,J86&lt;=$N$6),  ($O$6/I86),  ""))))</f>
        <v/>
      </c>
    </row>
    <row r="87" spans="1:11" ht="12.9" customHeight="1">
      <c r="A87" s="260"/>
      <c r="B87" s="275" t="s">
        <v>968</v>
      </c>
      <c r="C87" s="6"/>
      <c r="D87" s="6"/>
      <c r="E87" s="6"/>
      <c r="F87" s="88">
        <f ca="1">IF((F85&gt;=450)*AND(F85&lt;=1200),1,0)</f>
        <v>0</v>
      </c>
      <c r="G87" s="88">
        <f ca="1">IF((G85&gt;=650)*AND(G85&lt;=1620),1,0)</f>
        <v>0</v>
      </c>
      <c r="H87" s="269" t="s">
        <v>970</v>
      </c>
      <c r="I87" s="269"/>
      <c r="J87" s="88">
        <f>Kalk!AH42</f>
        <v>0</v>
      </c>
      <c r="K87" s="150" t="str">
        <f>IF(AND(J87&gt;=$M$3,J87&lt;=$N$3), ($O$3/J87 ),         IF(AND(J87&gt;=$M$4,J87&lt;=$N$4), ($O$4/I86), IF(AND(J87&gt;=$M$5,J87&lt;=$N$5),  ($O$5/I86),    IF(AND(J87&gt;=$M$6,J87&lt;=$N$6),  ($O$6/I86),  ""))))</f>
        <v/>
      </c>
    </row>
    <row r="88" spans="1:11" ht="13.2">
      <c r="A88" s="260"/>
      <c r="B88" s="275"/>
      <c r="C88" s="155"/>
      <c r="D88" s="155"/>
      <c r="F88" s="156"/>
      <c r="G88" s="156"/>
      <c r="H88" s="269"/>
      <c r="I88" s="269"/>
      <c r="J88" s="6"/>
      <c r="K88" s="157"/>
    </row>
    <row r="89" spans="1:11" ht="13.2">
      <c r="A89" s="260"/>
      <c r="B89" s="158">
        <f ca="1">Kalk!J39</f>
        <v>3.7599999999999998E-4</v>
      </c>
      <c r="C89" s="123"/>
      <c r="D89" s="123"/>
      <c r="E89" s="159"/>
      <c r="F89" s="6"/>
      <c r="G89" s="6"/>
      <c r="H89" s="154">
        <f ca="1">IF(Kalk!N39="ETERNA",1,0)</f>
        <v>0</v>
      </c>
      <c r="I89" s="154"/>
      <c r="J89" s="160"/>
      <c r="K89" s="161"/>
    </row>
    <row r="90" spans="1:11" ht="13.2">
      <c r="A90" s="260"/>
      <c r="B90" s="158">
        <f ca="1">Kalk!J39</f>
        <v>3.7599999999999998E-4</v>
      </c>
      <c r="C90" s="123"/>
      <c r="D90" s="123"/>
      <c r="E90" s="159"/>
      <c r="F90" s="6"/>
      <c r="G90" s="6"/>
      <c r="H90" s="6"/>
      <c r="I90" s="154"/>
      <c r="J90" s="160"/>
      <c r="K90" s="161"/>
    </row>
    <row r="91" spans="1:11" ht="13.2">
      <c r="A91" s="260"/>
      <c r="B91" s="158">
        <f ca="1">Kalk!J39</f>
        <v>3.7599999999999998E-4</v>
      </c>
      <c r="C91" s="123"/>
      <c r="D91" s="123"/>
      <c r="E91" s="168"/>
      <c r="F91" s="166"/>
      <c r="G91" s="166"/>
      <c r="H91" s="166"/>
      <c r="I91" s="169"/>
      <c r="J91" s="166"/>
    </row>
    <row r="92" spans="1:11" ht="13.2">
      <c r="B92" s="158">
        <f ca="1">Kalk!J39</f>
        <v>3.7599999999999998E-4</v>
      </c>
    </row>
  </sheetData>
  <mergeCells count="93">
    <mergeCell ref="M1:N1"/>
    <mergeCell ref="O1:P1"/>
    <mergeCell ref="Q1:R1"/>
    <mergeCell ref="A3:A10"/>
    <mergeCell ref="B3:B4"/>
    <mergeCell ref="C3:C4"/>
    <mergeCell ref="D3:D4"/>
    <mergeCell ref="F3:G3"/>
    <mergeCell ref="I3:I4"/>
    <mergeCell ref="B6:B7"/>
    <mergeCell ref="H6:H7"/>
    <mergeCell ref="I6:I7"/>
    <mergeCell ref="A12:A19"/>
    <mergeCell ref="B12:B13"/>
    <mergeCell ref="C12:C13"/>
    <mergeCell ref="D12:D13"/>
    <mergeCell ref="F12:G12"/>
    <mergeCell ref="A21:A28"/>
    <mergeCell ref="B21:B22"/>
    <mergeCell ref="C21:C22"/>
    <mergeCell ref="D21:D22"/>
    <mergeCell ref="F21:G21"/>
    <mergeCell ref="B24:B25"/>
    <mergeCell ref="F30:G30"/>
    <mergeCell ref="I12:I13"/>
    <mergeCell ref="B15:B16"/>
    <mergeCell ref="H15:H16"/>
    <mergeCell ref="I15:I16"/>
    <mergeCell ref="I21:I22"/>
    <mergeCell ref="H24:H25"/>
    <mergeCell ref="I24:I25"/>
    <mergeCell ref="I30:I31"/>
    <mergeCell ref="B33:B34"/>
    <mergeCell ref="H33:H34"/>
    <mergeCell ref="I33:I34"/>
    <mergeCell ref="A39:A46"/>
    <mergeCell ref="B39:B40"/>
    <mergeCell ref="C39:C40"/>
    <mergeCell ref="D39:D40"/>
    <mergeCell ref="F39:G39"/>
    <mergeCell ref="I39:I40"/>
    <mergeCell ref="B42:B43"/>
    <mergeCell ref="H42:H43"/>
    <mergeCell ref="I42:I43"/>
    <mergeCell ref="A30:A37"/>
    <mergeCell ref="B30:B31"/>
    <mergeCell ref="C30:C31"/>
    <mergeCell ref="D30:D31"/>
    <mergeCell ref="A48:A55"/>
    <mergeCell ref="B48:B49"/>
    <mergeCell ref="C48:C49"/>
    <mergeCell ref="D48:D49"/>
    <mergeCell ref="F48:G48"/>
    <mergeCell ref="A57:A64"/>
    <mergeCell ref="B57:B58"/>
    <mergeCell ref="C57:C58"/>
    <mergeCell ref="D57:D58"/>
    <mergeCell ref="F57:G57"/>
    <mergeCell ref="B60:B61"/>
    <mergeCell ref="F66:G66"/>
    <mergeCell ref="I48:I49"/>
    <mergeCell ref="B51:B52"/>
    <mergeCell ref="H51:H52"/>
    <mergeCell ref="I51:I52"/>
    <mergeCell ref="I57:I58"/>
    <mergeCell ref="H60:H61"/>
    <mergeCell ref="I60:I61"/>
    <mergeCell ref="I66:I67"/>
    <mergeCell ref="B69:B70"/>
    <mergeCell ref="H69:H70"/>
    <mergeCell ref="I69:I70"/>
    <mergeCell ref="A75:A82"/>
    <mergeCell ref="B75:B76"/>
    <mergeCell ref="C75:C76"/>
    <mergeCell ref="D75:D76"/>
    <mergeCell ref="F75:G75"/>
    <mergeCell ref="I75:I76"/>
    <mergeCell ref="B78:B79"/>
    <mergeCell ref="H78:H79"/>
    <mergeCell ref="I78:I79"/>
    <mergeCell ref="A66:A73"/>
    <mergeCell ref="B66:B67"/>
    <mergeCell ref="C66:C67"/>
    <mergeCell ref="D66:D67"/>
    <mergeCell ref="I84:I85"/>
    <mergeCell ref="B87:B88"/>
    <mergeCell ref="H87:H88"/>
    <mergeCell ref="I87:I88"/>
    <mergeCell ref="A84:A91"/>
    <mergeCell ref="B84:B85"/>
    <mergeCell ref="C84:C85"/>
    <mergeCell ref="D84:D85"/>
    <mergeCell ref="F84:G84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FFC000"/>
    <pageSetUpPr fitToPage="1"/>
  </sheetPr>
  <dimension ref="A1:AG80"/>
  <sheetViews>
    <sheetView topLeftCell="A11" zoomScale="74" zoomScaleNormal="74" workbookViewId="0">
      <selection activeCell="D45" sqref="D45"/>
    </sheetView>
  </sheetViews>
  <sheetFormatPr defaultColWidth="11.5546875" defaultRowHeight="12.75" customHeight="1"/>
  <cols>
    <col min="4" max="4" width="12.44140625" customWidth="1"/>
    <col min="11" max="11" width="18" customWidth="1"/>
    <col min="12" max="12" width="16.109375" customWidth="1"/>
    <col min="13" max="13" width="15.109375" customWidth="1"/>
    <col min="14" max="14" width="24.6640625" customWidth="1"/>
    <col min="15" max="15" width="18.88671875" customWidth="1"/>
    <col min="16" max="16" width="13.6640625" customWidth="1"/>
    <col min="17" max="18" width="14.109375" customWidth="1"/>
    <col min="23" max="23" width="15.88671875" customWidth="1"/>
    <col min="25" max="25" width="33.88671875" customWidth="1"/>
    <col min="26" max="26" width="14.88671875" customWidth="1"/>
    <col min="31" max="31" width="16.6640625" customWidth="1"/>
  </cols>
  <sheetData>
    <row r="1" spans="1:33" ht="13.2">
      <c r="J1" s="88" t="s">
        <v>83</v>
      </c>
      <c r="K1" s="110" t="s">
        <v>956</v>
      </c>
      <c r="L1" s="279" t="s">
        <v>1065</v>
      </c>
      <c r="M1" s="279"/>
      <c r="N1" s="279"/>
      <c r="O1" s="279"/>
      <c r="P1" s="279"/>
      <c r="Q1" s="117"/>
      <c r="R1" s="262" t="s">
        <v>1066</v>
      </c>
      <c r="S1" s="262"/>
      <c r="T1" s="262"/>
      <c r="U1" s="262"/>
      <c r="W1" t="s">
        <v>1067</v>
      </c>
      <c r="X1" s="279" t="s">
        <v>1065</v>
      </c>
      <c r="Y1" s="279"/>
      <c r="Z1" s="279"/>
      <c r="AA1" s="279"/>
      <c r="AB1" s="279"/>
      <c r="AC1" s="262" t="s">
        <v>1066</v>
      </c>
      <c r="AD1" s="262"/>
      <c r="AE1" s="262"/>
      <c r="AF1" s="262"/>
      <c r="AG1" s="270" t="s">
        <v>1068</v>
      </c>
    </row>
    <row r="2" spans="1:33" ht="12.9" customHeight="1">
      <c r="A2" s="260">
        <v>1</v>
      </c>
      <c r="B2" s="267" t="s">
        <v>962</v>
      </c>
      <c r="C2" s="148" t="s">
        <v>964</v>
      </c>
      <c r="D2" s="147" t="s">
        <v>1069</v>
      </c>
      <c r="E2" s="147" t="s">
        <v>66</v>
      </c>
      <c r="F2" s="148"/>
      <c r="G2" s="280" t="s">
        <v>1070</v>
      </c>
      <c r="H2" s="148"/>
      <c r="I2" s="269" t="s">
        <v>965</v>
      </c>
      <c r="J2" s="88">
        <f>Kalk!AH3</f>
        <v>1000</v>
      </c>
      <c r="K2" s="150" t="str">
        <f ca="1">IF($B$4=1,SUM(L$7:U$7),"")</f>
        <v/>
      </c>
      <c r="L2" s="150" t="s">
        <v>1071</v>
      </c>
      <c r="M2" s="150" t="s">
        <v>1072</v>
      </c>
      <c r="N2" s="150" t="s">
        <v>1073</v>
      </c>
      <c r="O2" s="150" t="s">
        <v>1074</v>
      </c>
      <c r="P2" s="165" t="s">
        <v>1075</v>
      </c>
      <c r="Q2" s="165" t="s">
        <v>1070</v>
      </c>
      <c r="R2" s="165" t="s">
        <v>1076</v>
      </c>
      <c r="S2" s="165" t="s">
        <v>1077</v>
      </c>
      <c r="T2" s="165" t="s">
        <v>1078</v>
      </c>
      <c r="U2" s="165" t="s">
        <v>1079</v>
      </c>
      <c r="W2" t="s">
        <v>1080</v>
      </c>
      <c r="X2" s="150" t="s">
        <v>1071</v>
      </c>
      <c r="Y2" s="150" t="s">
        <v>1072</v>
      </c>
      <c r="Z2" s="150" t="s">
        <v>1073</v>
      </c>
      <c r="AA2" s="150" t="s">
        <v>1074</v>
      </c>
      <c r="AB2" s="165" t="s">
        <v>1075</v>
      </c>
      <c r="AC2" s="165" t="s">
        <v>1076</v>
      </c>
      <c r="AD2" s="165" t="s">
        <v>1077</v>
      </c>
      <c r="AE2" s="165" t="s">
        <v>1078</v>
      </c>
      <c r="AF2" s="165" t="s">
        <v>1079</v>
      </c>
      <c r="AG2" s="270"/>
    </row>
    <row r="3" spans="1:33" ht="13.2">
      <c r="A3" s="260"/>
      <c r="B3" s="267"/>
      <c r="C3" s="147" t="str">
        <f>LEFT(Kalk!$B4,5)</f>
        <v>F0201</v>
      </c>
      <c r="D3" s="147"/>
      <c r="E3" s="147">
        <f>Kalk!G4</f>
        <v>0</v>
      </c>
      <c r="F3" s="147"/>
      <c r="G3" s="280"/>
      <c r="H3" s="147"/>
      <c r="I3" s="269"/>
      <c r="J3" s="88">
        <f>Kalk!AH4</f>
        <v>0</v>
      </c>
      <c r="K3" s="150" t="str">
        <f ca="1">IF($B$4=1,SUM(L$7:U$7),"")</f>
        <v/>
      </c>
      <c r="L3" s="150">
        <f ca="1">IF(AND($B7&lt;1,$E3&lt;700,$H7=0,$G7=0),$X$3,0)</f>
        <v>0.25</v>
      </c>
      <c r="M3" s="151">
        <f ca="1">IF(AND($B7&gt;=1,$B7&lt;=2,$E3&lt;700,$H7=0,$G7=0),$Y$3,0)</f>
        <v>0</v>
      </c>
      <c r="N3" s="151">
        <f ca="1">IF(AND($B7&gt;2,$H7=0,$O3=0,$G7=0),$Z$3,0)</f>
        <v>0</v>
      </c>
      <c r="O3" s="151">
        <f>IF(AND($E3&gt;=700,$H7=0,$G7=0),$AA$3*E4,0)</f>
        <v>0</v>
      </c>
      <c r="P3" s="151">
        <f>IF($G7=1,$AB$3,0)</f>
        <v>0</v>
      </c>
      <c r="Q3" s="151">
        <f ca="1">IF(AND(G4=1,B7&lt;1),$X$3,   IF(AND(G4=1,B7&gt;=1,B7&lt;2),$Y$3,   IF(AND(G4=1, B7&gt;=2),$Z$3,  0)))</f>
        <v>0</v>
      </c>
      <c r="R3" s="152">
        <f ca="1">IF(AND($H7=1,$E3&lt;700,$E7=0,$G7=0),$AC$3+$F7,0)</f>
        <v>0</v>
      </c>
      <c r="S3" s="152">
        <f ca="1">IF(AND($H7=1,$E3&lt;700,$E7=1,$G7=0),$AD$3+$F7,0)</f>
        <v>0</v>
      </c>
      <c r="T3" s="152">
        <f ca="1">AND($H7=1,$E3&gt;=700,$E7=0,$G7=0)*($AE$3+$F7)</f>
        <v>0</v>
      </c>
      <c r="U3" s="152">
        <f ca="1">IF(AND($H7=1,$E3&gt;700,$E7=1,$G7=0),$AF$3+$F7,0)</f>
        <v>0</v>
      </c>
      <c r="W3" t="s">
        <v>42</v>
      </c>
      <c r="X3" s="151">
        <v>0.25</v>
      </c>
      <c r="Y3" s="151">
        <v>0.3</v>
      </c>
      <c r="Z3" s="151">
        <v>0.4</v>
      </c>
      <c r="AA3" s="151">
        <v>0.5</v>
      </c>
      <c r="AB3" s="151">
        <v>0.5</v>
      </c>
      <c r="AC3" s="152">
        <v>0.8</v>
      </c>
      <c r="AD3" s="152">
        <v>0.8</v>
      </c>
      <c r="AE3" s="152">
        <v>1.4</v>
      </c>
      <c r="AF3" s="152">
        <v>1.4</v>
      </c>
      <c r="AG3" s="88">
        <v>0.01</v>
      </c>
    </row>
    <row r="4" spans="1:33" ht="13.2">
      <c r="A4" s="260"/>
      <c r="B4" s="153">
        <f ca="1">IF(SUM(C4:D4)=2,1,0)</f>
        <v>0</v>
      </c>
      <c r="C4" s="88">
        <f>IF((VLOOKUP(C3,$W$1:$W$71,1,1)=C3),1,0)</f>
        <v>1</v>
      </c>
      <c r="D4" s="88">
        <f ca="1">IF(OR(AND(Kalk!N3="ETERNA",Kalk!N6="+KLEJ RĘCZNE"),Kalk!N4="TEXO+KLEJ",Kalk!N5="KYS"),1,0)</f>
        <v>0</v>
      </c>
      <c r="E4" s="88">
        <f>IF(E3&gt;1399,ROUND(E3/700,0),1)</f>
        <v>1</v>
      </c>
      <c r="F4" s="88"/>
      <c r="G4" s="88">
        <f>IF(C3="F0451",1,0)</f>
        <v>0</v>
      </c>
      <c r="H4" s="88"/>
      <c r="I4" s="154">
        <f>Kalk!M3</f>
        <v>0</v>
      </c>
      <c r="J4" s="88">
        <f>Kalk!AH5</f>
        <v>0</v>
      </c>
      <c r="K4" s="150" t="str">
        <f ca="1">IF($B$4=1,SUM(L$7:U$7),"")</f>
        <v/>
      </c>
      <c r="L4" s="165"/>
      <c r="M4" s="165"/>
      <c r="N4" s="165"/>
      <c r="O4" s="165"/>
      <c r="P4" s="165"/>
      <c r="Q4" s="165"/>
      <c r="R4" s="165"/>
      <c r="S4" s="165"/>
      <c r="T4" s="165"/>
      <c r="U4" s="165"/>
      <c r="W4" t="s">
        <v>1081</v>
      </c>
    </row>
    <row r="5" spans="1:33" ht="12.9" customHeight="1">
      <c r="A5" s="260"/>
      <c r="B5" s="269" t="s">
        <v>968</v>
      </c>
      <c r="C5" s="147" t="s">
        <v>1082</v>
      </c>
      <c r="E5" s="269" t="s">
        <v>1083</v>
      </c>
      <c r="F5" s="269" t="s">
        <v>1084</v>
      </c>
      <c r="G5" s="269" t="s">
        <v>1075</v>
      </c>
      <c r="H5" s="269" t="s">
        <v>1085</v>
      </c>
      <c r="I5" s="269" t="s">
        <v>971</v>
      </c>
      <c r="J5" s="88">
        <f>Kalk!AH6</f>
        <v>0</v>
      </c>
      <c r="K5" s="150" t="str">
        <f ca="1">IF($B$4=1,SUM(L$7:U$7),"")</f>
        <v/>
      </c>
      <c r="L5" s="165"/>
      <c r="M5" s="165"/>
      <c r="N5" s="165"/>
      <c r="O5" s="165"/>
      <c r="P5" s="165"/>
      <c r="Q5" s="165"/>
      <c r="R5" s="165"/>
      <c r="S5" s="165"/>
      <c r="T5" s="165"/>
      <c r="U5" s="165"/>
      <c r="W5" t="s">
        <v>1086</v>
      </c>
    </row>
    <row r="6" spans="1:33" ht="13.2">
      <c r="A6" s="260"/>
      <c r="B6" s="269"/>
      <c r="C6" s="88">
        <f>IF((VLOOKUP(C3,$W$1:$W$33,1,1)=C3),1,0)</f>
        <v>1</v>
      </c>
      <c r="D6" s="155"/>
      <c r="E6" s="269"/>
      <c r="F6" s="269"/>
      <c r="G6" s="269"/>
      <c r="H6" s="269"/>
      <c r="I6" s="269"/>
      <c r="J6" s="6"/>
      <c r="K6" s="157"/>
      <c r="L6" s="179"/>
      <c r="M6" s="179"/>
      <c r="N6" s="179"/>
      <c r="O6" s="179"/>
      <c r="P6" s="179"/>
      <c r="Q6" s="179"/>
      <c r="R6" s="179"/>
      <c r="S6" s="179"/>
      <c r="T6" s="179"/>
      <c r="U6" s="179"/>
      <c r="W6" t="s">
        <v>983</v>
      </c>
    </row>
    <row r="7" spans="1:33" ht="13.2">
      <c r="A7" s="260"/>
      <c r="B7" s="181">
        <f ca="1">IF(E7=1,PRODUCT(C7:D7)/1000000,Kalk!J3)</f>
        <v>1.3860000000000001E-3</v>
      </c>
      <c r="C7" s="114">
        <f ca="1">IF(E7=1,Kalk!H4,Kalk!I4)</f>
        <v>63</v>
      </c>
      <c r="D7" s="114">
        <f ca="1">IF(E7=1,Kalk!H6,Kalk!I6)</f>
        <v>22</v>
      </c>
      <c r="E7" s="154">
        <f ca="1">IF(Kalk!C3="two part box",1,0)</f>
        <v>0</v>
      </c>
      <c r="F7" s="158">
        <f>IF(H7=1,ROUNDUP(E3/100+1,0)*$AG$3,0)</f>
        <v>0</v>
      </c>
      <c r="G7" s="154">
        <f>IF(OR(C3="F0711",C3="F0713"),1,0)</f>
        <v>0</v>
      </c>
      <c r="H7" s="154">
        <f>IF(Kalk!M5="szycie",1,0)</f>
        <v>0</v>
      </c>
      <c r="I7" s="154">
        <f>Kalk!W3</f>
        <v>0</v>
      </c>
      <c r="J7" s="160"/>
      <c r="K7" s="161"/>
      <c r="L7" s="88">
        <f t="shared" ref="L7:U7" ca="1" si="0">SUM(L2:L6)</f>
        <v>0.25</v>
      </c>
      <c r="M7" s="88">
        <f t="shared" ca="1" si="0"/>
        <v>0</v>
      </c>
      <c r="N7" s="88">
        <f t="shared" ca="1" si="0"/>
        <v>0</v>
      </c>
      <c r="O7" s="88">
        <f t="shared" si="0"/>
        <v>0</v>
      </c>
      <c r="P7" s="88">
        <f t="shared" si="0"/>
        <v>0</v>
      </c>
      <c r="Q7" s="88">
        <f t="shared" ca="1" si="0"/>
        <v>0</v>
      </c>
      <c r="R7" s="88">
        <f t="shared" ca="1" si="0"/>
        <v>0</v>
      </c>
      <c r="S7" s="88">
        <f t="shared" ca="1" si="0"/>
        <v>0</v>
      </c>
      <c r="T7" s="88">
        <f t="shared" ca="1" si="0"/>
        <v>0</v>
      </c>
      <c r="U7" s="88">
        <f t="shared" ca="1" si="0"/>
        <v>0</v>
      </c>
      <c r="W7" t="s">
        <v>984</v>
      </c>
    </row>
    <row r="8" spans="1:33" ht="13.2">
      <c r="A8" s="260"/>
      <c r="B8" s="123"/>
      <c r="C8" s="123"/>
      <c r="D8" s="123"/>
      <c r="E8" s="159"/>
      <c r="F8" s="6"/>
      <c r="G8" s="6"/>
      <c r="H8" s="6"/>
      <c r="I8" s="6"/>
      <c r="J8" s="166"/>
      <c r="W8" t="s">
        <v>985</v>
      </c>
    </row>
    <row r="9" spans="1:33" ht="13.2">
      <c r="B9" s="167"/>
      <c r="C9" s="167"/>
      <c r="D9" s="167"/>
      <c r="E9" s="167"/>
      <c r="F9" s="167"/>
      <c r="G9" s="167"/>
      <c r="H9" s="167"/>
      <c r="I9" s="166"/>
      <c r="J9" s="88" t="s">
        <v>83</v>
      </c>
      <c r="K9" s="110" t="s">
        <v>956</v>
      </c>
      <c r="L9" s="279" t="s">
        <v>1065</v>
      </c>
      <c r="M9" s="279"/>
      <c r="N9" s="279"/>
      <c r="O9" s="279"/>
      <c r="P9" s="279"/>
      <c r="Q9" s="88"/>
      <c r="R9" s="262" t="s">
        <v>1066</v>
      </c>
      <c r="S9" s="262"/>
      <c r="T9" s="262"/>
      <c r="U9" s="262"/>
      <c r="W9" t="s">
        <v>990</v>
      </c>
    </row>
    <row r="10" spans="1:33" ht="12.9" customHeight="1">
      <c r="A10" s="260">
        <v>2</v>
      </c>
      <c r="B10" s="267" t="s">
        <v>962</v>
      </c>
      <c r="C10" s="148" t="s">
        <v>964</v>
      </c>
      <c r="D10" s="147" t="s">
        <v>1069</v>
      </c>
      <c r="E10" s="147" t="s">
        <v>66</v>
      </c>
      <c r="F10" s="148"/>
      <c r="G10" s="280" t="s">
        <v>1070</v>
      </c>
      <c r="H10" s="148"/>
      <c r="I10" s="269" t="s">
        <v>965</v>
      </c>
      <c r="J10" s="88">
        <f>Kalk!AH7</f>
        <v>0</v>
      </c>
      <c r="K10" s="150" t="str">
        <f ca="1">IF($B$12=1,SUM(L$15:U$15),"")</f>
        <v/>
      </c>
      <c r="L10" s="150" t="s">
        <v>1071</v>
      </c>
      <c r="M10" s="150" t="s">
        <v>1072</v>
      </c>
      <c r="N10" s="150" t="s">
        <v>1073</v>
      </c>
      <c r="O10" s="150" t="s">
        <v>1074</v>
      </c>
      <c r="P10" s="165" t="s">
        <v>1075</v>
      </c>
      <c r="Q10" s="88" t="s">
        <v>1087</v>
      </c>
      <c r="R10" s="165" t="s">
        <v>1076</v>
      </c>
      <c r="S10" s="165" t="s">
        <v>1077</v>
      </c>
      <c r="T10" s="165" t="s">
        <v>1078</v>
      </c>
      <c r="U10" s="165" t="s">
        <v>1079</v>
      </c>
      <c r="W10" t="s">
        <v>993</v>
      </c>
    </row>
    <row r="11" spans="1:33" ht="13.2">
      <c r="A11" s="260"/>
      <c r="B11" s="267"/>
      <c r="C11" s="147" t="str">
        <f>LEFT(Kalk!$B8,5)</f>
        <v>F0201</v>
      </c>
      <c r="D11" s="147"/>
      <c r="E11" s="147">
        <f>Kalk!G8</f>
        <v>0</v>
      </c>
      <c r="F11" s="147"/>
      <c r="G11" s="280"/>
      <c r="H11" s="147"/>
      <c r="I11" s="269"/>
      <c r="J11" s="88">
        <f>Kalk!AH8</f>
        <v>0</v>
      </c>
      <c r="K11" s="150" t="str">
        <f ca="1">IF($B$12=1,SUM(L$15:U$15),"")</f>
        <v/>
      </c>
      <c r="L11" s="150">
        <f ca="1">IF(AND($B15&lt;1,$E11&lt;700,$H15=0,$G15=0),$X$3,0)</f>
        <v>0.25</v>
      </c>
      <c r="M11" s="151">
        <f ca="1">IF(AND($B15&gt;=1,$B15&lt;=2,$E11&lt;700,$H15=0,$G15=0),$Y$3,0)</f>
        <v>0</v>
      </c>
      <c r="N11" s="151">
        <f ca="1">IF(AND($B15&gt;2,$H15=0,$O11=0,$G15=0),$Z$3,0)</f>
        <v>0</v>
      </c>
      <c r="O11" s="151">
        <f>IF(AND($E11&gt;=700,$H15=0,$G15=0),$AA$3*E12,0)</f>
        <v>0</v>
      </c>
      <c r="P11" s="151">
        <f>IF($G15=1,$AB$3,0)</f>
        <v>0</v>
      </c>
      <c r="Q11" s="151">
        <f ca="1">IF(AND(G12=1,B15&lt;1),$X$3,   IF(AND(G12=1,B15&gt;=1,B15&lt;2),$Y$3,   IF(AND(G12=1, B15&gt;=2),$Z$3,  0)))</f>
        <v>0</v>
      </c>
      <c r="R11" s="152">
        <f ca="1">IF(AND($H15=1,$E11&lt;700,$E15=0,$G15=0),$AC$3+$F15,0)</f>
        <v>0</v>
      </c>
      <c r="S11" s="152">
        <f ca="1">IF(AND($H15=1,$E11&lt;700,$E15=1,$G15=0),$AD$3+$F15,0)</f>
        <v>0</v>
      </c>
      <c r="T11" s="152">
        <f ca="1">AND($H15=1,$E11&gt;=700,$E15=0,$G15=0)*($AE$3+$F15)</f>
        <v>0</v>
      </c>
      <c r="U11" s="152">
        <f ca="1">IF(AND($H15=1,$E11&gt;700,$E15=1,$G15=0),$AF$3+$F15,0)</f>
        <v>0</v>
      </c>
      <c r="W11" t="s">
        <v>994</v>
      </c>
    </row>
    <row r="12" spans="1:33" ht="13.2">
      <c r="A12" s="260"/>
      <c r="B12" s="153">
        <f ca="1">IF(SUM(C12:D12)=2,1,0)</f>
        <v>0</v>
      </c>
      <c r="C12" s="88">
        <f>IF((VLOOKUP(C11,$W$1:$W$71,1,1)=C11),1,0)</f>
        <v>1</v>
      </c>
      <c r="D12" s="88">
        <f ca="1">IF(OR(AND(Kalk!N7="ETERNA",Kalk!N10="+KLEJ RĘCZNE"),Kalk!N8="TEXO+KLEJ",Kalk!N9="KYS"),1,0)</f>
        <v>0</v>
      </c>
      <c r="E12" s="88">
        <f>IF(E11&gt;1399,ROUND(E11/700,0),1)</f>
        <v>1</v>
      </c>
      <c r="F12" s="88"/>
      <c r="G12" s="88">
        <f>IF(C11="F0451",1,0)</f>
        <v>0</v>
      </c>
      <c r="H12" s="88"/>
      <c r="I12" s="154">
        <f>Kalk!M7</f>
        <v>0</v>
      </c>
      <c r="J12" s="88">
        <f>Kalk!AH9</f>
        <v>0</v>
      </c>
      <c r="K12" s="150" t="str">
        <f ca="1">IF($B$12=1,SUM(L$15:U$15),"")</f>
        <v/>
      </c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W12" t="s">
        <v>995</v>
      </c>
    </row>
    <row r="13" spans="1:33" ht="12.9" customHeight="1">
      <c r="A13" s="260"/>
      <c r="B13" s="269" t="s">
        <v>968</v>
      </c>
      <c r="C13" s="147" t="s">
        <v>1082</v>
      </c>
      <c r="E13" s="269" t="s">
        <v>1083</v>
      </c>
      <c r="F13" s="269" t="s">
        <v>1084</v>
      </c>
      <c r="G13" s="269" t="s">
        <v>1075</v>
      </c>
      <c r="H13" s="269" t="s">
        <v>1085</v>
      </c>
      <c r="I13" s="269" t="s">
        <v>971</v>
      </c>
      <c r="J13" s="88">
        <f>Kalk!AH10</f>
        <v>0</v>
      </c>
      <c r="K13" s="150" t="str">
        <f ca="1">IF($B$12=1,SUM(L$15:U$15),"")</f>
        <v/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W13" t="s">
        <v>996</v>
      </c>
    </row>
    <row r="14" spans="1:33" ht="13.2">
      <c r="A14" s="260"/>
      <c r="B14" s="269"/>
      <c r="C14" s="88">
        <f>IF((VLOOKUP(C11,$W$1:$W$33,1,1)=C11),1,0)</f>
        <v>1</v>
      </c>
      <c r="D14" s="155"/>
      <c r="E14" s="269"/>
      <c r="F14" s="269"/>
      <c r="G14" s="269"/>
      <c r="H14" s="269"/>
      <c r="I14" s="269"/>
      <c r="J14" s="6"/>
      <c r="K14" s="157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W14" t="s">
        <v>997</v>
      </c>
    </row>
    <row r="15" spans="1:33" ht="13.2">
      <c r="A15" s="260"/>
      <c r="B15" s="181">
        <f ca="1">IF(E15=1,PRODUCT(C15:D15)/1000000,Kalk!J7)</f>
        <v>1.3860000000000001E-3</v>
      </c>
      <c r="C15" s="114">
        <f ca="1">IF(E15=1,Kalk!H8,Kalk!I8)</f>
        <v>63</v>
      </c>
      <c r="D15" s="114">
        <f ca="1">IF(E15=1,Kalk!H10,Kalk!I10)</f>
        <v>22</v>
      </c>
      <c r="E15" s="154">
        <f ca="1">IF(Kalk!C7="two part box",1,0)</f>
        <v>0</v>
      </c>
      <c r="F15" s="158">
        <f>IF(H15=1,ROUNDUP(E11/100+1,0)*$AG$3,0)</f>
        <v>0</v>
      </c>
      <c r="G15" s="154">
        <f>IF(OR(C11="F0711",C11="F0713"),1,0)</f>
        <v>0</v>
      </c>
      <c r="H15" s="154">
        <f>IF(Kalk!M9="szycie",1,0)</f>
        <v>0</v>
      </c>
      <c r="I15" s="154">
        <f>Kalk!W7</f>
        <v>0</v>
      </c>
      <c r="J15" s="160"/>
      <c r="K15" s="161"/>
      <c r="L15" s="88">
        <f t="shared" ref="L15:U15" ca="1" si="1">SUM(L10:L14)</f>
        <v>0.25</v>
      </c>
      <c r="M15" s="88">
        <f t="shared" ca="1" si="1"/>
        <v>0</v>
      </c>
      <c r="N15" s="88">
        <f t="shared" ca="1" si="1"/>
        <v>0</v>
      </c>
      <c r="O15" s="88">
        <f t="shared" si="1"/>
        <v>0</v>
      </c>
      <c r="P15" s="88">
        <f t="shared" si="1"/>
        <v>0</v>
      </c>
      <c r="Q15" s="88">
        <f t="shared" ca="1" si="1"/>
        <v>0</v>
      </c>
      <c r="R15" s="88">
        <f t="shared" ca="1" si="1"/>
        <v>0</v>
      </c>
      <c r="S15" s="88">
        <f t="shared" ca="1" si="1"/>
        <v>0</v>
      </c>
      <c r="T15" s="88">
        <f t="shared" ca="1" si="1"/>
        <v>0</v>
      </c>
      <c r="U15" s="88">
        <f t="shared" ca="1" si="1"/>
        <v>0</v>
      </c>
      <c r="W15" t="s">
        <v>998</v>
      </c>
    </row>
    <row r="16" spans="1:33" ht="13.2">
      <c r="A16" s="260"/>
      <c r="B16" s="123"/>
      <c r="C16" s="123"/>
      <c r="D16" s="123"/>
      <c r="E16" s="159"/>
      <c r="F16" s="6"/>
      <c r="G16" s="6"/>
      <c r="H16" s="6"/>
      <c r="I16" s="6"/>
      <c r="J16" s="166"/>
      <c r="Q16" s="88"/>
      <c r="W16" t="s">
        <v>999</v>
      </c>
    </row>
    <row r="17" spans="1:23" ht="13.2">
      <c r="B17" s="167"/>
      <c r="C17" s="167"/>
      <c r="D17" s="167"/>
      <c r="E17" s="167"/>
      <c r="F17" s="167"/>
      <c r="G17" s="167"/>
      <c r="H17" s="167"/>
      <c r="I17" s="167"/>
      <c r="J17" s="88" t="s">
        <v>83</v>
      </c>
      <c r="K17" s="110" t="s">
        <v>956</v>
      </c>
      <c r="L17" s="279" t="s">
        <v>1065</v>
      </c>
      <c r="M17" s="279"/>
      <c r="N17" s="279"/>
      <c r="O17" s="279"/>
      <c r="P17" s="279"/>
      <c r="Q17" s="88"/>
      <c r="R17" s="262" t="s">
        <v>1066</v>
      </c>
      <c r="S17" s="262"/>
      <c r="T17" s="262"/>
      <c r="U17" s="262"/>
      <c r="W17" t="s">
        <v>1000</v>
      </c>
    </row>
    <row r="18" spans="1:23" ht="12.9" customHeight="1">
      <c r="A18" s="260">
        <v>3</v>
      </c>
      <c r="B18" s="267" t="s">
        <v>962</v>
      </c>
      <c r="C18" s="148" t="s">
        <v>964</v>
      </c>
      <c r="D18" s="147" t="s">
        <v>1069</v>
      </c>
      <c r="E18" s="147" t="s">
        <v>66</v>
      </c>
      <c r="F18" s="148"/>
      <c r="G18" s="280" t="s">
        <v>1070</v>
      </c>
      <c r="H18" s="148"/>
      <c r="I18" s="269" t="s">
        <v>965</v>
      </c>
      <c r="J18" s="88">
        <f>Kalk!AH11</f>
        <v>0</v>
      </c>
      <c r="K18" s="150" t="str">
        <f ca="1">IF($B$20=1,SUM(L$23:U$23),"")</f>
        <v/>
      </c>
      <c r="L18" s="150" t="s">
        <v>1071</v>
      </c>
      <c r="M18" s="150" t="s">
        <v>1072</v>
      </c>
      <c r="N18" s="150" t="s">
        <v>1073</v>
      </c>
      <c r="O18" s="150" t="s">
        <v>1074</v>
      </c>
      <c r="P18" s="165" t="s">
        <v>1075</v>
      </c>
      <c r="Q18" s="88" t="s">
        <v>1087</v>
      </c>
      <c r="R18" s="165" t="s">
        <v>1076</v>
      </c>
      <c r="S18" s="165" t="s">
        <v>1077</v>
      </c>
      <c r="T18" s="165" t="s">
        <v>1078</v>
      </c>
      <c r="U18" s="165" t="s">
        <v>1079</v>
      </c>
      <c r="W18" t="s">
        <v>1001</v>
      </c>
    </row>
    <row r="19" spans="1:23" ht="13.2">
      <c r="A19" s="260"/>
      <c r="B19" s="267"/>
      <c r="C19" s="147" t="str">
        <f>LEFT(Kalk!$B12,5)</f>
        <v>F0201</v>
      </c>
      <c r="D19" s="147"/>
      <c r="E19" s="147">
        <f>Kalk!G12</f>
        <v>0</v>
      </c>
      <c r="F19" s="147"/>
      <c r="G19" s="280"/>
      <c r="H19" s="147"/>
      <c r="I19" s="269"/>
      <c r="J19" s="88">
        <f>Kalk!AH12</f>
        <v>0</v>
      </c>
      <c r="K19" s="150" t="str">
        <f ca="1">IF($B$20=1,SUM(L$23:U$23),"")</f>
        <v/>
      </c>
      <c r="L19" s="150">
        <f ca="1">IF(AND($B23&lt;1,$E19&lt;700,$H23=0,$G23=0),$X$3,0)</f>
        <v>0.25</v>
      </c>
      <c r="M19" s="151">
        <f ca="1">IF(AND($B23&gt;=1,$B23&lt;=2,$E19&lt;700,$H23=0,$G23=0),$Y$3,0)</f>
        <v>0</v>
      </c>
      <c r="N19" s="151">
        <f ca="1">IF(AND($B23&gt;2,$H23=0,$O19=0,$G23=0),$Z$3,0)</f>
        <v>0</v>
      </c>
      <c r="O19" s="151">
        <f>IF(AND($E19&gt;=700,$H23=0,$G23=0),$AA$3*E20,0)</f>
        <v>0</v>
      </c>
      <c r="P19" s="151">
        <f>IF($G23=1,$AB$3,0)</f>
        <v>0</v>
      </c>
      <c r="Q19" s="151">
        <f ca="1">IF(AND(G20=1,B23&lt;1),$X$3,   IF(AND(G20=1,B23&gt;=1,B23&lt;2),$Y$3,   IF(AND(G20=1, B23&gt;=2),$Z$3,  0)))</f>
        <v>0</v>
      </c>
      <c r="R19" s="152">
        <f ca="1">IF(AND($H23=1,$E19&lt;700,$E23=0,$G23=0),$AC$3+$F23,0)</f>
        <v>0</v>
      </c>
      <c r="S19" s="152">
        <f ca="1">IF(AND($H23=1,$E19&lt;700,$E23=1,$G23=0),$AD$3+$F23,0)</f>
        <v>0</v>
      </c>
      <c r="T19" s="152">
        <f ca="1">AND($H23=1,$E19&gt;=700,$E23=0,$G23=0)*($AE$3+$F23)</f>
        <v>0</v>
      </c>
      <c r="U19" s="152">
        <f ca="1">IF(AND($H23=1,$E19&gt;700,$E23=1,$G23=0),$AF$3+$F23,0)</f>
        <v>0</v>
      </c>
      <c r="W19" t="s">
        <v>1002</v>
      </c>
    </row>
    <row r="20" spans="1:23" ht="13.2">
      <c r="A20" s="260"/>
      <c r="B20" s="153">
        <f ca="1">IF(SUM(C20:D20)=2,1,0)</f>
        <v>0</v>
      </c>
      <c r="C20" s="88">
        <f>IF((VLOOKUP(C19,$W$1:$W$71,1,1)=C19),1,0)</f>
        <v>1</v>
      </c>
      <c r="D20" s="88">
        <f ca="1">IF(OR(AND(Kalk!N11="ETERNA",Kalk!N14="+KLEJ RĘCZNE"),Kalk!N12="TEXO+KLEJ",Kalk!N13="KYS"),1,0)</f>
        <v>0</v>
      </c>
      <c r="E20" s="88">
        <f>IF(E19&gt;1399,ROUND(E19/700,0),1)</f>
        <v>1</v>
      </c>
      <c r="F20" s="88"/>
      <c r="G20" s="88">
        <f>IF(C19="F0451",1,0)</f>
        <v>0</v>
      </c>
      <c r="H20" s="88"/>
      <c r="I20" s="154">
        <f>Kalk!M11</f>
        <v>0</v>
      </c>
      <c r="J20" s="88">
        <f>Kalk!AH13</f>
        <v>0</v>
      </c>
      <c r="K20" s="150" t="str">
        <f ca="1">IF($B$20=1,SUM(L$23:U$23),"")</f>
        <v/>
      </c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W20" t="s">
        <v>1003</v>
      </c>
    </row>
    <row r="21" spans="1:23" ht="12.9" customHeight="1">
      <c r="A21" s="260"/>
      <c r="B21" s="269" t="s">
        <v>968</v>
      </c>
      <c r="C21" s="147" t="s">
        <v>1082</v>
      </c>
      <c r="E21" s="269" t="s">
        <v>1083</v>
      </c>
      <c r="F21" s="269" t="s">
        <v>1084</v>
      </c>
      <c r="G21" s="269" t="s">
        <v>1075</v>
      </c>
      <c r="H21" s="269" t="s">
        <v>1085</v>
      </c>
      <c r="I21" s="269" t="s">
        <v>971</v>
      </c>
      <c r="J21" s="88">
        <f>Kalk!AH14</f>
        <v>0</v>
      </c>
      <c r="K21" s="150" t="str">
        <f ca="1">IF($B$20=1,SUM(L$23:U$23),"")</f>
        <v/>
      </c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W21" t="s">
        <v>1004</v>
      </c>
    </row>
    <row r="22" spans="1:23" ht="13.2">
      <c r="A22" s="260"/>
      <c r="B22" s="269"/>
      <c r="C22" s="88">
        <f>IF((VLOOKUP(C19,$W$1:$W$33,1,1)=C19),1,0)</f>
        <v>1</v>
      </c>
      <c r="D22" s="155"/>
      <c r="E22" s="269"/>
      <c r="F22" s="269"/>
      <c r="G22" s="269"/>
      <c r="H22" s="269"/>
      <c r="I22" s="269"/>
      <c r="J22" s="6"/>
      <c r="K22" s="157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W22" t="s">
        <v>1005</v>
      </c>
    </row>
    <row r="23" spans="1:23" ht="13.2">
      <c r="A23" s="260"/>
      <c r="B23" s="181">
        <f ca="1">IF(E23=1,PRODUCT(C23:D23)/1000000,Kalk!J11)</f>
        <v>3.7599999999999998E-4</v>
      </c>
      <c r="C23" s="114">
        <f ca="1">IF(E23=1,Kalk!H12,Kalk!I12)</f>
        <v>47</v>
      </c>
      <c r="D23" s="114">
        <f ca="1">IF(E23=1,Kalk!H14,Kalk!I14)</f>
        <v>8</v>
      </c>
      <c r="E23" s="154">
        <f ca="1">IF(Kalk!C11="two part box",1,0)</f>
        <v>0</v>
      </c>
      <c r="F23" s="158">
        <f>IF(H23=1,ROUNDUP(E19/100+1,0)*$AG$3,0)</f>
        <v>0</v>
      </c>
      <c r="G23" s="154">
        <f>IF(OR(C19="F0711",C19="F0713"),1,0)</f>
        <v>0</v>
      </c>
      <c r="H23" s="154">
        <f>IF(Kalk!M13="szycie",1,0)</f>
        <v>0</v>
      </c>
      <c r="I23" s="154">
        <f>Kalk!W11</f>
        <v>0</v>
      </c>
      <c r="J23" s="160"/>
      <c r="K23" s="161"/>
      <c r="L23" s="88">
        <f t="shared" ref="L23:U23" ca="1" si="2">SUM(L18:L22)</f>
        <v>0.25</v>
      </c>
      <c r="M23" s="88">
        <f t="shared" ca="1" si="2"/>
        <v>0</v>
      </c>
      <c r="N23" s="88">
        <f t="shared" ca="1" si="2"/>
        <v>0</v>
      </c>
      <c r="O23" s="88">
        <f t="shared" si="2"/>
        <v>0</v>
      </c>
      <c r="P23" s="88">
        <f t="shared" si="2"/>
        <v>0</v>
      </c>
      <c r="Q23" s="88">
        <f t="shared" ca="1" si="2"/>
        <v>0</v>
      </c>
      <c r="R23" s="88">
        <f t="shared" ca="1" si="2"/>
        <v>0</v>
      </c>
      <c r="S23" s="88">
        <f t="shared" ca="1" si="2"/>
        <v>0</v>
      </c>
      <c r="T23" s="88">
        <f t="shared" ca="1" si="2"/>
        <v>0</v>
      </c>
      <c r="U23" s="88">
        <f t="shared" ca="1" si="2"/>
        <v>0</v>
      </c>
      <c r="W23" t="s">
        <v>1006</v>
      </c>
    </row>
    <row r="24" spans="1:23" ht="13.2">
      <c r="A24" s="260"/>
      <c r="B24" s="123"/>
      <c r="C24" s="123"/>
      <c r="D24" s="123"/>
      <c r="E24" s="159"/>
      <c r="F24" s="6"/>
      <c r="G24" s="6"/>
      <c r="H24" s="6"/>
      <c r="I24" s="6"/>
      <c r="J24" s="166"/>
      <c r="W24" t="s">
        <v>1007</v>
      </c>
    </row>
    <row r="25" spans="1:23" ht="13.2">
      <c r="B25" s="167"/>
      <c r="C25" s="167"/>
      <c r="D25" s="167"/>
      <c r="E25" s="167"/>
      <c r="F25" s="167"/>
      <c r="G25" s="167"/>
      <c r="H25" s="167"/>
      <c r="I25" s="167"/>
      <c r="J25" s="88" t="s">
        <v>83</v>
      </c>
      <c r="K25" s="110" t="s">
        <v>956</v>
      </c>
      <c r="L25" s="279" t="s">
        <v>1065</v>
      </c>
      <c r="M25" s="279"/>
      <c r="N25" s="279"/>
      <c r="O25" s="279"/>
      <c r="P25" s="279"/>
      <c r="Q25" s="88"/>
      <c r="R25" s="262" t="s">
        <v>1066</v>
      </c>
      <c r="S25" s="262"/>
      <c r="T25" s="262"/>
      <c r="U25" s="262"/>
      <c r="W25" t="s">
        <v>1008</v>
      </c>
    </row>
    <row r="26" spans="1:23" ht="12.9" customHeight="1">
      <c r="A26" s="260">
        <v>4</v>
      </c>
      <c r="B26" s="267" t="s">
        <v>962</v>
      </c>
      <c r="C26" s="148" t="s">
        <v>964</v>
      </c>
      <c r="D26" s="147" t="s">
        <v>1069</v>
      </c>
      <c r="E26" s="147" t="s">
        <v>66</v>
      </c>
      <c r="F26" s="148"/>
      <c r="G26" s="280" t="s">
        <v>1070</v>
      </c>
      <c r="H26" s="148"/>
      <c r="I26" s="269" t="s">
        <v>965</v>
      </c>
      <c r="J26" s="88">
        <f>Kalk!AH15</f>
        <v>0</v>
      </c>
      <c r="K26" s="150" t="str">
        <f ca="1">IF($B$28=1,SUM(L$31:U$31),"")</f>
        <v/>
      </c>
      <c r="L26" s="150" t="s">
        <v>1071</v>
      </c>
      <c r="M26" s="150" t="s">
        <v>1072</v>
      </c>
      <c r="N26" s="150" t="s">
        <v>1073</v>
      </c>
      <c r="O26" s="150" t="s">
        <v>1074</v>
      </c>
      <c r="P26" s="165" t="s">
        <v>1075</v>
      </c>
      <c r="Q26" s="88" t="s">
        <v>1087</v>
      </c>
      <c r="R26" s="165" t="s">
        <v>1076</v>
      </c>
      <c r="S26" s="165" t="s">
        <v>1077</v>
      </c>
      <c r="T26" s="165" t="s">
        <v>1078</v>
      </c>
      <c r="U26" s="165" t="s">
        <v>1079</v>
      </c>
      <c r="W26" t="s">
        <v>1009</v>
      </c>
    </row>
    <row r="27" spans="1:23" ht="13.2">
      <c r="A27" s="260"/>
      <c r="B27" s="267"/>
      <c r="C27" s="147" t="str">
        <f>LEFT(Kalk!$B16,5)</f>
        <v>F0201</v>
      </c>
      <c r="D27" s="147"/>
      <c r="E27" s="147">
        <f>Kalk!G16</f>
        <v>0</v>
      </c>
      <c r="F27" s="147"/>
      <c r="G27" s="280"/>
      <c r="H27" s="147"/>
      <c r="I27" s="269"/>
      <c r="J27" s="88">
        <f>Kalk!AH16</f>
        <v>0</v>
      </c>
      <c r="K27" s="150" t="str">
        <f ca="1">IF($B$28=1,SUM(L$31:U$31),"")</f>
        <v/>
      </c>
      <c r="L27" s="150">
        <f ca="1">IF(AND($B31&lt;1,$E27&lt;700,$H31=0,$G31=0),$X$3,0)</f>
        <v>0.25</v>
      </c>
      <c r="M27" s="151">
        <f ca="1">IF(AND($B31&gt;=1,$B31&lt;=2,$E27&lt;700,$H31=0,$G31=0),$Y$3,0)</f>
        <v>0</v>
      </c>
      <c r="N27" s="151">
        <f ca="1">IF(AND($B31&gt;2,$H31=0,$O27=0,$G31=0),$Z$3,0)</f>
        <v>0</v>
      </c>
      <c r="O27" s="151">
        <f>IF(AND($E27&gt;=700,$H31=0,$G31=0),$AA$3*E28,0)</f>
        <v>0</v>
      </c>
      <c r="P27" s="151">
        <f>IF($G31=1,$AB$3,0)</f>
        <v>0</v>
      </c>
      <c r="Q27" s="151">
        <f ca="1">IF(AND(G28=1,B31&lt;1),$X$3,   IF(AND(G28=1,B31&gt;=1,B31&lt;2),$Y$3,   IF(AND(G28=1, B31&gt;=2),$Z$3,  0)))</f>
        <v>0</v>
      </c>
      <c r="R27" s="152">
        <f ca="1">IF(AND($H31=1,$E27&lt;700,$E31=0,$G31=0),$AC$3+$F31,0)</f>
        <v>0</v>
      </c>
      <c r="S27" s="152">
        <f ca="1">IF(AND($H31=1,$E27&lt;700,$E31=1,$G31=0),$AD$3+$F31,0)</f>
        <v>0</v>
      </c>
      <c r="T27" s="152">
        <f ca="1">AND($H31=1,$E27&gt;=700,$E31=0,$G31=0)*($AE$3+$F31)</f>
        <v>0</v>
      </c>
      <c r="U27" s="152">
        <f ca="1">IF(AND($H31=1,$E27&gt;700,$E31=1,$G31=0),$AF$3+$F31,0)</f>
        <v>0</v>
      </c>
      <c r="W27" t="s">
        <v>1010</v>
      </c>
    </row>
    <row r="28" spans="1:23" ht="13.2">
      <c r="A28" s="260"/>
      <c r="B28" s="153">
        <f ca="1">IF(SUM(C28:D28)=2,1,0)</f>
        <v>0</v>
      </c>
      <c r="C28" s="88">
        <f>IF((VLOOKUP(C27,$W$1:$W$71,1,1)=C27),1,0)</f>
        <v>1</v>
      </c>
      <c r="D28" s="88">
        <f ca="1">IF(OR(AND(Kalk!N15="ETERNA",Kalk!N18="+KLEJ RĘCZNE"),Kalk!N16="TEXO+KLEJ",Kalk!N17="KYS"),1,0)</f>
        <v>0</v>
      </c>
      <c r="E28" s="88">
        <f>IF(E27&gt;1399,ROUND(E27/700,0),1)</f>
        <v>1</v>
      </c>
      <c r="F28" s="88"/>
      <c r="G28" s="88">
        <f>IF(C27="F0451",1,0)</f>
        <v>0</v>
      </c>
      <c r="H28" s="88"/>
      <c r="I28" s="154">
        <f>Kalk!M15</f>
        <v>0</v>
      </c>
      <c r="J28" s="88">
        <f>Kalk!AH17</f>
        <v>0</v>
      </c>
      <c r="K28" s="150" t="str">
        <f ca="1">IF($B$28=1,SUM(L$31:U$31),"")</f>
        <v/>
      </c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W28" t="s">
        <v>1011</v>
      </c>
    </row>
    <row r="29" spans="1:23" ht="12.9" customHeight="1">
      <c r="A29" s="260"/>
      <c r="B29" s="269" t="s">
        <v>968</v>
      </c>
      <c r="C29" s="147" t="s">
        <v>1082</v>
      </c>
      <c r="E29" s="269" t="s">
        <v>1083</v>
      </c>
      <c r="F29" s="269" t="s">
        <v>1084</v>
      </c>
      <c r="G29" s="269" t="s">
        <v>1075</v>
      </c>
      <c r="H29" s="269" t="s">
        <v>1085</v>
      </c>
      <c r="I29" s="269" t="s">
        <v>971</v>
      </c>
      <c r="J29" s="88">
        <f>Kalk!AH18</f>
        <v>0</v>
      </c>
      <c r="K29" s="150" t="str">
        <f ca="1">IF($B$28=1,SUM(L$31:U$31),"")</f>
        <v/>
      </c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W29" t="s">
        <v>1012</v>
      </c>
    </row>
    <row r="30" spans="1:23" ht="13.2">
      <c r="A30" s="260"/>
      <c r="B30" s="269"/>
      <c r="C30" s="88">
        <f>IF((VLOOKUP(C27,$W$1:$W$33,1,1)=C27),1,0)</f>
        <v>1</v>
      </c>
      <c r="D30" s="155"/>
      <c r="E30" s="269"/>
      <c r="F30" s="269"/>
      <c r="G30" s="269"/>
      <c r="H30" s="269"/>
      <c r="I30" s="269"/>
      <c r="J30" s="6"/>
      <c r="K30" s="157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W30" t="s">
        <v>1013</v>
      </c>
    </row>
    <row r="31" spans="1:23" ht="13.2">
      <c r="A31" s="260"/>
      <c r="B31" s="181">
        <f ca="1">IF(E31=1,PRODUCT(C31:D31)/1000000,Kalk!J15)</f>
        <v>3.7599999999999998E-4</v>
      </c>
      <c r="C31" s="114">
        <f ca="1">IF(E31=1,Kalk!H16,Kalk!I16)</f>
        <v>47</v>
      </c>
      <c r="D31" s="114">
        <f ca="1">IF(E31=1,Kalk!H18,Kalk!I18)</f>
        <v>8</v>
      </c>
      <c r="E31" s="154">
        <f ca="1">IF(Kalk!C15="two part box",1,0)</f>
        <v>0</v>
      </c>
      <c r="F31" s="158">
        <f>IF(H31=1,ROUNDUP(E27/100+1,0)*$AG$3,0)</f>
        <v>0</v>
      </c>
      <c r="G31" s="154">
        <f>IF(OR(C27="F0711",C27="F0713"),1,0)</f>
        <v>0</v>
      </c>
      <c r="H31" s="154">
        <f>IF(Kalk!M17="szycie",1,0)</f>
        <v>0</v>
      </c>
      <c r="I31" s="154">
        <f>Kalk!W15</f>
        <v>0</v>
      </c>
      <c r="J31" s="160"/>
      <c r="K31" s="161"/>
      <c r="L31" s="88">
        <f t="shared" ref="L31:U31" ca="1" si="3">SUM(L26:L30)</f>
        <v>0.25</v>
      </c>
      <c r="M31" s="88">
        <f t="shared" ca="1" si="3"/>
        <v>0</v>
      </c>
      <c r="N31" s="88">
        <f t="shared" ca="1" si="3"/>
        <v>0</v>
      </c>
      <c r="O31" s="88">
        <f t="shared" si="3"/>
        <v>0</v>
      </c>
      <c r="P31" s="88">
        <f t="shared" si="3"/>
        <v>0</v>
      </c>
      <c r="Q31" s="88">
        <f t="shared" ca="1" si="3"/>
        <v>0</v>
      </c>
      <c r="R31" s="88">
        <f t="shared" ca="1" si="3"/>
        <v>0</v>
      </c>
      <c r="S31" s="88">
        <f t="shared" ca="1" si="3"/>
        <v>0</v>
      </c>
      <c r="T31" s="88">
        <f t="shared" ca="1" si="3"/>
        <v>0</v>
      </c>
      <c r="U31" s="88">
        <f t="shared" ca="1" si="3"/>
        <v>0</v>
      </c>
      <c r="W31" t="s">
        <v>1014</v>
      </c>
    </row>
    <row r="32" spans="1:23" ht="13.2">
      <c r="A32" s="260"/>
      <c r="B32" s="123"/>
      <c r="C32" s="123"/>
      <c r="D32" s="123"/>
      <c r="E32" s="159"/>
      <c r="F32" s="6"/>
      <c r="G32" s="6"/>
      <c r="H32" s="6"/>
      <c r="I32" s="6"/>
      <c r="J32" s="166"/>
      <c r="W32" t="s">
        <v>1015</v>
      </c>
    </row>
    <row r="33" spans="1:23" ht="13.2">
      <c r="B33" s="167"/>
      <c r="C33" s="167"/>
      <c r="D33" s="167"/>
      <c r="E33" s="167"/>
      <c r="F33" s="167"/>
      <c r="G33" s="167"/>
      <c r="H33" s="167"/>
      <c r="I33" s="167"/>
      <c r="J33" s="88" t="s">
        <v>83</v>
      </c>
      <c r="K33" s="110" t="s">
        <v>956</v>
      </c>
      <c r="L33" s="279" t="s">
        <v>1065</v>
      </c>
      <c r="M33" s="279"/>
      <c r="N33" s="279"/>
      <c r="O33" s="279"/>
      <c r="P33" s="279"/>
      <c r="Q33" s="88"/>
      <c r="R33" s="262" t="s">
        <v>1066</v>
      </c>
      <c r="S33" s="262"/>
      <c r="T33" s="262"/>
      <c r="U33" s="262"/>
      <c r="W33" t="s">
        <v>1016</v>
      </c>
    </row>
    <row r="34" spans="1:23" ht="12.9" customHeight="1">
      <c r="A34" s="260">
        <v>5</v>
      </c>
      <c r="B34" s="267" t="s">
        <v>962</v>
      </c>
      <c r="C34" s="148" t="s">
        <v>964</v>
      </c>
      <c r="D34" s="147" t="s">
        <v>1069</v>
      </c>
      <c r="E34" s="147" t="s">
        <v>66</v>
      </c>
      <c r="F34" s="148"/>
      <c r="G34" s="280" t="s">
        <v>1070</v>
      </c>
      <c r="H34" s="148"/>
      <c r="I34" s="269" t="s">
        <v>965</v>
      </c>
      <c r="J34" s="88">
        <f>Kalk!AH19</f>
        <v>0</v>
      </c>
      <c r="K34" s="150" t="str">
        <f ca="1">IF($B$36=1,SUM(L$39:U$39),"")</f>
        <v/>
      </c>
      <c r="L34" s="150" t="s">
        <v>1071</v>
      </c>
      <c r="M34" s="150" t="s">
        <v>1072</v>
      </c>
      <c r="N34" s="150" t="s">
        <v>1073</v>
      </c>
      <c r="O34" s="150" t="s">
        <v>1074</v>
      </c>
      <c r="P34" s="165" t="s">
        <v>1075</v>
      </c>
      <c r="Q34" s="88" t="s">
        <v>1087</v>
      </c>
      <c r="R34" s="165" t="s">
        <v>1076</v>
      </c>
      <c r="S34" s="165" t="s">
        <v>1077</v>
      </c>
      <c r="T34" s="165" t="s">
        <v>1078</v>
      </c>
      <c r="U34" s="165" t="s">
        <v>1079</v>
      </c>
      <c r="W34" t="s">
        <v>1088</v>
      </c>
    </row>
    <row r="35" spans="1:23" ht="13.2">
      <c r="A35" s="260"/>
      <c r="B35" s="267"/>
      <c r="C35" s="147" t="str">
        <f>LEFT(Kalk!$B20,5)</f>
        <v>F0201</v>
      </c>
      <c r="D35" s="147"/>
      <c r="E35" s="147">
        <f>Kalk!G20</f>
        <v>0</v>
      </c>
      <c r="F35" s="147"/>
      <c r="G35" s="280"/>
      <c r="H35" s="147"/>
      <c r="I35" s="269"/>
      <c r="J35" s="88">
        <f>Kalk!AH20</f>
        <v>0</v>
      </c>
      <c r="K35" s="150" t="str">
        <f ca="1">IF($B$36=1,SUM(L$39:U$39),"")</f>
        <v/>
      </c>
      <c r="L35" s="150">
        <f ca="1">IF(AND($B39&lt;1,$E35&lt;700,$H39=0,$G39=0),$X$3,0)</f>
        <v>0.25</v>
      </c>
      <c r="M35" s="151">
        <f ca="1">IF(AND($B39&gt;=1,$B39&lt;=2,$E35&lt;700,$H39=0,$G39=0),$Y$3,0)</f>
        <v>0</v>
      </c>
      <c r="N35" s="151">
        <f ca="1">IF(AND($B39&gt;2,$H39=0,$O35=0,$G39=0),$Z$3,0)</f>
        <v>0</v>
      </c>
      <c r="O35" s="151">
        <f>IF(AND($E35&gt;=700,$H39=0,$G39=0),$AA$3*E36,0)</f>
        <v>0</v>
      </c>
      <c r="P35" s="151">
        <f>IF($G39=1,$AB$3,0)</f>
        <v>0</v>
      </c>
      <c r="Q35" s="151">
        <f ca="1">IF(AND(G36=1,B39&lt;1),$X$3,   IF(AND(G36=1,B39&gt;=1,B39&lt;2),$Y$3,   IF(AND(G36=1, B39&gt;=2),$Z$3,  0)))</f>
        <v>0</v>
      </c>
      <c r="R35" s="152">
        <f ca="1">IF(AND($H39=1,$E35&lt;700,$E39=0,$G39=0),$AC$3+$F39,0)</f>
        <v>0</v>
      </c>
      <c r="S35" s="152">
        <f ca="1">IF(AND($H39=1,$E35&lt;700,$E39=1,$G39=0),$AD$3+$F39,0)</f>
        <v>0</v>
      </c>
      <c r="T35" s="152">
        <f ca="1">AND($H39=1,$E35&gt;=700,$E39=0,$G39=0)*($AE$3+$F39)</f>
        <v>0</v>
      </c>
      <c r="U35" s="152">
        <f ca="1">IF(AND($H39=1,$E35&gt;700,$E39=1,$G39=0),$AF$3+$F39,0)</f>
        <v>0</v>
      </c>
      <c r="W35" t="s">
        <v>1017</v>
      </c>
    </row>
    <row r="36" spans="1:23" ht="13.2">
      <c r="A36" s="260"/>
      <c r="B36" s="153">
        <f ca="1">IF(SUM(C36:D36)=2,1,0)</f>
        <v>0</v>
      </c>
      <c r="C36" s="88">
        <f>IF((VLOOKUP(C35,$W$1:$W$71,1,1)=C35),1,0)</f>
        <v>1</v>
      </c>
      <c r="D36" s="88">
        <f ca="1">IF(OR(AND(Kalk!N19="ETERNA",Kalk!N22="+KLEJ RĘCZNE"),Kalk!N20="TEXO+KLEJ",Kalk!N21="KYS"),1,0)</f>
        <v>0</v>
      </c>
      <c r="E36" s="88">
        <f>IF(E35&gt;1399,ROUND(E35/700,0),1)</f>
        <v>1</v>
      </c>
      <c r="F36" s="88"/>
      <c r="G36" s="88">
        <f>IF(C35="F0451",1,0)</f>
        <v>0</v>
      </c>
      <c r="H36" s="88"/>
      <c r="I36" s="154">
        <f>Kalk!M19</f>
        <v>0</v>
      </c>
      <c r="J36" s="88">
        <f>Kalk!AH21</f>
        <v>0</v>
      </c>
      <c r="K36" s="150" t="str">
        <f ca="1">IF($B$36=1,SUM(L$39:U$39),"")</f>
        <v/>
      </c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W36" t="s">
        <v>1018</v>
      </c>
    </row>
    <row r="37" spans="1:23" ht="12.9" customHeight="1">
      <c r="A37" s="260"/>
      <c r="B37" s="269" t="s">
        <v>968</v>
      </c>
      <c r="C37" s="147" t="s">
        <v>1082</v>
      </c>
      <c r="E37" s="269" t="s">
        <v>1083</v>
      </c>
      <c r="F37" s="269" t="s">
        <v>1084</v>
      </c>
      <c r="G37" s="269" t="s">
        <v>1075</v>
      </c>
      <c r="H37" s="269" t="s">
        <v>1085</v>
      </c>
      <c r="I37" s="269" t="s">
        <v>971</v>
      </c>
      <c r="J37" s="88">
        <f>Kalk!AH22</f>
        <v>0</v>
      </c>
      <c r="K37" s="150" t="str">
        <f ca="1">IF($B$36=1,SUM(L$39:U$39),"")</f>
        <v/>
      </c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W37" t="s">
        <v>1019</v>
      </c>
    </row>
    <row r="38" spans="1:23" ht="13.2">
      <c r="A38" s="260"/>
      <c r="B38" s="269"/>
      <c r="C38" s="88">
        <f>IF((VLOOKUP(C35,$W$1:$W$33,1,1)=C35),1,0)</f>
        <v>1</v>
      </c>
      <c r="D38" s="155"/>
      <c r="E38" s="269"/>
      <c r="F38" s="269"/>
      <c r="G38" s="269"/>
      <c r="H38" s="269"/>
      <c r="I38" s="269"/>
      <c r="J38" s="6"/>
      <c r="K38" s="157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W38" t="s">
        <v>1020</v>
      </c>
    </row>
    <row r="39" spans="1:23" ht="13.2">
      <c r="A39" s="260"/>
      <c r="B39" s="181">
        <f ca="1">IF(E39=1,PRODUCT(C39:D39)/1000000,Kalk!J19)</f>
        <v>3.7599999999999998E-4</v>
      </c>
      <c r="C39" s="114">
        <f ca="1">IF(E39=1,Kalk!H20,Kalk!I20)</f>
        <v>47</v>
      </c>
      <c r="D39" s="114">
        <f ca="1">IF(E39=1,Kalk!H22,Kalk!I22)</f>
        <v>8</v>
      </c>
      <c r="E39" s="154">
        <f ca="1">IF(Kalk!C19="two part box",1,0)</f>
        <v>0</v>
      </c>
      <c r="F39" s="158">
        <f>IF(H39=1,ROUNDUP(E35/100+1,0)*$AG$3,0)</f>
        <v>0</v>
      </c>
      <c r="G39" s="154">
        <f>IF(OR(C35="F0711",C35="F0713"),1,0)</f>
        <v>0</v>
      </c>
      <c r="H39" s="154">
        <f>IF(Kalk!M21="szycie",1,0)</f>
        <v>0</v>
      </c>
      <c r="I39" s="154">
        <f>Kalk!W19</f>
        <v>0</v>
      </c>
      <c r="J39" s="160"/>
      <c r="K39" s="161"/>
      <c r="L39" s="88">
        <f t="shared" ref="L39:U39" ca="1" si="4">SUM(L34:L38)</f>
        <v>0.25</v>
      </c>
      <c r="M39" s="88">
        <f t="shared" ca="1" si="4"/>
        <v>0</v>
      </c>
      <c r="N39" s="88">
        <f t="shared" ca="1" si="4"/>
        <v>0</v>
      </c>
      <c r="O39" s="88">
        <f t="shared" si="4"/>
        <v>0</v>
      </c>
      <c r="P39" s="88">
        <f t="shared" si="4"/>
        <v>0</v>
      </c>
      <c r="Q39" s="88">
        <f t="shared" ca="1" si="4"/>
        <v>0</v>
      </c>
      <c r="R39" s="88">
        <f t="shared" ca="1" si="4"/>
        <v>0</v>
      </c>
      <c r="S39" s="88">
        <f t="shared" ca="1" si="4"/>
        <v>0</v>
      </c>
      <c r="T39" s="88">
        <f t="shared" ca="1" si="4"/>
        <v>0</v>
      </c>
      <c r="U39" s="88">
        <f t="shared" ca="1" si="4"/>
        <v>0</v>
      </c>
      <c r="W39" t="s">
        <v>1032</v>
      </c>
    </row>
    <row r="40" spans="1:23" ht="13.2">
      <c r="A40" s="260"/>
      <c r="B40" s="123"/>
      <c r="C40" s="123"/>
      <c r="D40" s="123"/>
      <c r="E40" s="159"/>
      <c r="F40" s="6"/>
      <c r="G40" s="6"/>
      <c r="H40" s="6"/>
      <c r="I40" s="6"/>
      <c r="J40" s="166"/>
      <c r="W40" t="s">
        <v>1089</v>
      </c>
    </row>
    <row r="41" spans="1:23" ht="13.2">
      <c r="B41" s="167"/>
      <c r="C41" s="167"/>
      <c r="D41" s="167"/>
      <c r="E41" s="167"/>
      <c r="F41" s="167"/>
      <c r="G41" s="167"/>
      <c r="H41" s="167"/>
      <c r="I41" s="167"/>
      <c r="J41" s="88" t="s">
        <v>83</v>
      </c>
      <c r="K41" s="110" t="s">
        <v>956</v>
      </c>
      <c r="L41" s="279" t="s">
        <v>1065</v>
      </c>
      <c r="M41" s="279"/>
      <c r="N41" s="279"/>
      <c r="O41" s="279"/>
      <c r="P41" s="279"/>
      <c r="Q41" s="88"/>
      <c r="R41" s="262" t="s">
        <v>1066</v>
      </c>
      <c r="S41" s="262"/>
      <c r="T41" s="262"/>
      <c r="U41" s="262"/>
      <c r="W41" t="s">
        <v>1090</v>
      </c>
    </row>
    <row r="42" spans="1:23" ht="12.9" customHeight="1">
      <c r="A42" s="260">
        <v>6</v>
      </c>
      <c r="B42" s="267" t="s">
        <v>962</v>
      </c>
      <c r="C42" s="148" t="s">
        <v>964</v>
      </c>
      <c r="D42" s="147" t="s">
        <v>1069</v>
      </c>
      <c r="E42" s="147" t="s">
        <v>66</v>
      </c>
      <c r="F42" s="148"/>
      <c r="G42" s="280" t="s">
        <v>1070</v>
      </c>
      <c r="H42" s="148"/>
      <c r="I42" s="269" t="s">
        <v>965</v>
      </c>
      <c r="J42" s="88">
        <f>Kalk!AH23</f>
        <v>0</v>
      </c>
      <c r="K42" s="150" t="str">
        <f ca="1">IF($B$44=1,SUM(L$47:U$47),"")</f>
        <v/>
      </c>
      <c r="L42" s="150" t="s">
        <v>1071</v>
      </c>
      <c r="M42" s="150" t="s">
        <v>1072</v>
      </c>
      <c r="N42" s="150" t="s">
        <v>1073</v>
      </c>
      <c r="O42" s="150" t="s">
        <v>1074</v>
      </c>
      <c r="P42" s="165" t="s">
        <v>1075</v>
      </c>
      <c r="Q42" s="88" t="s">
        <v>1087</v>
      </c>
      <c r="R42" s="165" t="s">
        <v>1076</v>
      </c>
      <c r="S42" s="165" t="s">
        <v>1077</v>
      </c>
      <c r="T42" s="165" t="s">
        <v>1078</v>
      </c>
      <c r="U42" s="165" t="s">
        <v>1079</v>
      </c>
      <c r="W42" t="s">
        <v>1091</v>
      </c>
    </row>
    <row r="43" spans="1:23" ht="13.2">
      <c r="A43" s="260"/>
      <c r="B43" s="267"/>
      <c r="C43" s="147" t="str">
        <f>LEFT(Kalk!$B24,5)</f>
        <v>F0201</v>
      </c>
      <c r="D43" s="147"/>
      <c r="E43" s="147">
        <f>Kalk!G24</f>
        <v>0</v>
      </c>
      <c r="F43" s="147"/>
      <c r="G43" s="280"/>
      <c r="H43" s="147"/>
      <c r="I43" s="269"/>
      <c r="J43" s="88">
        <f>Kalk!AH24</f>
        <v>0</v>
      </c>
      <c r="K43" s="150" t="str">
        <f ca="1">IF($B$44=1,SUM(L$47:U$47),"")</f>
        <v/>
      </c>
      <c r="L43" s="150">
        <f ca="1">IF(AND($B47&lt;1,$E43&lt;700,$H47=0,$G47=0),$X$3,0)</f>
        <v>0.25</v>
      </c>
      <c r="M43" s="151">
        <f ca="1">IF(AND($B47&gt;=1,$B47&lt;=2,$E43&lt;700,$H47=0,$G47=0),$Y$3,0)</f>
        <v>0</v>
      </c>
      <c r="N43" s="151">
        <f ca="1">IF(AND($B47&gt;2,$H47=0,$O43=0,$G47=0),$Z$3,0)</f>
        <v>0</v>
      </c>
      <c r="O43" s="151">
        <f>IF(AND($E43&gt;=700,$H47=0,$G47=0),$AA$3*E44,0)</f>
        <v>0</v>
      </c>
      <c r="P43" s="151">
        <f>IF($G47=1,$AB$3,0)</f>
        <v>0</v>
      </c>
      <c r="Q43" s="151">
        <f ca="1">IF(AND(G44=1,B47&lt;1),$X$3,   IF(AND(G44=1,B47&gt;=1,B47&lt;2),$Y$3,   IF(AND(G44=1, B47&gt;=2),$Z$3,  0)))</f>
        <v>0</v>
      </c>
      <c r="R43" s="152">
        <f ca="1">IF(AND($H47=1,$E43&lt;700,$E47=0,$G47=0),$AC$3+$F47,0)</f>
        <v>0</v>
      </c>
      <c r="S43" s="152">
        <f ca="1">IF(AND($H47=1,$E43&lt;700,$E47=1,$G47=0),$AD$3+$F47,0)</f>
        <v>0</v>
      </c>
      <c r="T43" s="152">
        <f ca="1">AND($H47=1,$E43&gt;=700,$E47=0,$G47=0)*($AE$3+$F47)</f>
        <v>0</v>
      </c>
      <c r="U43" s="152">
        <f ca="1">IF(AND($H47=1,$E43&gt;700,$E47=1,$G47=0),$AF$3+$F47,0)</f>
        <v>0</v>
      </c>
      <c r="W43" t="s">
        <v>1092</v>
      </c>
    </row>
    <row r="44" spans="1:23" ht="13.2">
      <c r="A44" s="260"/>
      <c r="B44" s="153">
        <f ca="1">IF(SUM(C44:D44)=2,1,0)</f>
        <v>0</v>
      </c>
      <c r="C44" s="88">
        <f>IF((VLOOKUP(C43,$W$1:$W$71,1,1)=C43),1,0)</f>
        <v>1</v>
      </c>
      <c r="D44" s="88">
        <f ca="1">IF(OR(AND(Kalk!N23="ETERNA",Kalk!N26="+KLEJ RĘCZNE"),Kalk!N24="TEXO+KLEJ",Kalk!N25="KYS"),1,0)</f>
        <v>0</v>
      </c>
      <c r="E44" s="88">
        <f>IF(E43&gt;1399,ROUND(E43/700,0),1)</f>
        <v>1</v>
      </c>
      <c r="F44" s="88"/>
      <c r="G44" s="88">
        <f>IF(C43="F0451",1,0)</f>
        <v>0</v>
      </c>
      <c r="H44" s="88"/>
      <c r="I44" s="154">
        <f>Kalk!M23</f>
        <v>0</v>
      </c>
      <c r="J44" s="88">
        <f>Kalk!AH25</f>
        <v>0</v>
      </c>
      <c r="K44" s="150" t="str">
        <f ca="1">IF($B$44=1,SUM(L$47:U$47),"")</f>
        <v/>
      </c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W44" t="s">
        <v>1093</v>
      </c>
    </row>
    <row r="45" spans="1:23" ht="12.9" customHeight="1">
      <c r="A45" s="260"/>
      <c r="B45" s="269" t="s">
        <v>968</v>
      </c>
      <c r="C45" s="147" t="s">
        <v>1082</v>
      </c>
      <c r="E45" s="269" t="s">
        <v>1083</v>
      </c>
      <c r="F45" s="269" t="s">
        <v>1084</v>
      </c>
      <c r="G45" s="269" t="s">
        <v>1075</v>
      </c>
      <c r="H45" s="269" t="s">
        <v>1085</v>
      </c>
      <c r="I45" s="269" t="s">
        <v>971</v>
      </c>
      <c r="J45" s="88">
        <f>Kalk!AH26</f>
        <v>0</v>
      </c>
      <c r="K45" s="150" t="str">
        <f ca="1">IF($B$44=1,SUM(L$47:U$47),"")</f>
        <v/>
      </c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W45" t="s">
        <v>1094</v>
      </c>
    </row>
    <row r="46" spans="1:23" ht="13.2">
      <c r="A46" s="260"/>
      <c r="B46" s="269"/>
      <c r="C46" s="88">
        <f>IF((VLOOKUP(C43,$W$1:$W$33,1,1)=C43),1,0)</f>
        <v>1</v>
      </c>
      <c r="D46" s="155"/>
      <c r="E46" s="269"/>
      <c r="F46" s="269"/>
      <c r="G46" s="269"/>
      <c r="H46" s="269"/>
      <c r="I46" s="269"/>
      <c r="J46" s="6"/>
      <c r="K46" s="157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W46" t="s">
        <v>1095</v>
      </c>
    </row>
    <row r="47" spans="1:23" ht="13.2">
      <c r="A47" s="260"/>
      <c r="B47" s="181">
        <f ca="1">IF(E47=1,PRODUCT(C47:D47)/1000000,Kalk!J23)</f>
        <v>3.7599999999999998E-4</v>
      </c>
      <c r="C47" s="114">
        <f ca="1">IF(E47=1,Kalk!H24,Kalk!I24)</f>
        <v>47</v>
      </c>
      <c r="D47" s="114">
        <f ca="1">IF(E47=1,Kalk!H26,Kalk!I26)</f>
        <v>8</v>
      </c>
      <c r="E47" s="154">
        <f ca="1">IF(Kalk!C23="two part box",1,0)</f>
        <v>0</v>
      </c>
      <c r="F47" s="158">
        <f>IF(H47=1,ROUNDUP(E43/100+1,0)*$AG$3,0)</f>
        <v>0</v>
      </c>
      <c r="G47" s="154">
        <f>IF(OR(C43="F0711",C43="F0713"),1,0)</f>
        <v>0</v>
      </c>
      <c r="H47" s="154">
        <f>IF(Kalk!M25="szycie",1,0)</f>
        <v>0</v>
      </c>
      <c r="I47" s="154">
        <f>Kalk!W23</f>
        <v>0</v>
      </c>
      <c r="J47" s="160"/>
      <c r="K47" s="161"/>
      <c r="L47" s="88">
        <f t="shared" ref="L47:U47" ca="1" si="5">SUM(L42:L46)</f>
        <v>0.25</v>
      </c>
      <c r="M47" s="88">
        <f t="shared" ca="1" si="5"/>
        <v>0</v>
      </c>
      <c r="N47" s="88">
        <f t="shared" ca="1" si="5"/>
        <v>0</v>
      </c>
      <c r="O47" s="88">
        <f t="shared" si="5"/>
        <v>0</v>
      </c>
      <c r="P47" s="88">
        <f t="shared" si="5"/>
        <v>0</v>
      </c>
      <c r="Q47" s="88">
        <f t="shared" ca="1" si="5"/>
        <v>0</v>
      </c>
      <c r="R47" s="88">
        <f t="shared" ca="1" si="5"/>
        <v>0</v>
      </c>
      <c r="S47" s="88">
        <f t="shared" ca="1" si="5"/>
        <v>0</v>
      </c>
      <c r="T47" s="88">
        <f t="shared" ca="1" si="5"/>
        <v>0</v>
      </c>
      <c r="U47" s="88">
        <f t="shared" ca="1" si="5"/>
        <v>0</v>
      </c>
      <c r="W47" t="s">
        <v>1096</v>
      </c>
    </row>
    <row r="48" spans="1:23" ht="13.2">
      <c r="A48" s="260"/>
      <c r="B48" s="123"/>
      <c r="C48" s="123"/>
      <c r="D48" s="123"/>
      <c r="E48" s="159"/>
      <c r="F48" s="6"/>
      <c r="G48" s="6"/>
      <c r="H48" s="6"/>
      <c r="I48" s="6"/>
      <c r="J48" s="166"/>
      <c r="W48" t="s">
        <v>1097</v>
      </c>
    </row>
    <row r="49" spans="1:23" ht="13.2">
      <c r="B49" s="167"/>
      <c r="C49" s="167"/>
      <c r="D49" s="167"/>
      <c r="E49" s="167"/>
      <c r="F49" s="167"/>
      <c r="G49" s="167"/>
      <c r="H49" s="167"/>
      <c r="I49" s="167"/>
      <c r="J49" s="88" t="s">
        <v>83</v>
      </c>
      <c r="K49" s="110" t="s">
        <v>956</v>
      </c>
      <c r="L49" s="279" t="s">
        <v>1065</v>
      </c>
      <c r="M49" s="279"/>
      <c r="N49" s="279"/>
      <c r="O49" s="279"/>
      <c r="P49" s="279"/>
      <c r="Q49" s="88"/>
      <c r="R49" s="262" t="s">
        <v>1066</v>
      </c>
      <c r="S49" s="262"/>
      <c r="T49" s="262"/>
      <c r="U49" s="262"/>
      <c r="W49" t="s">
        <v>1098</v>
      </c>
    </row>
    <row r="50" spans="1:23" ht="12.9" customHeight="1">
      <c r="A50" s="260">
        <v>7</v>
      </c>
      <c r="B50" s="267" t="s">
        <v>962</v>
      </c>
      <c r="C50" s="148" t="s">
        <v>964</v>
      </c>
      <c r="D50" s="147" t="s">
        <v>1069</v>
      </c>
      <c r="E50" s="147" t="s">
        <v>66</v>
      </c>
      <c r="F50" s="148"/>
      <c r="G50" s="280" t="s">
        <v>1070</v>
      </c>
      <c r="H50" s="148"/>
      <c r="I50" s="269" t="s">
        <v>965</v>
      </c>
      <c r="J50" s="88">
        <f>Kalk!AH27</f>
        <v>0</v>
      </c>
      <c r="K50" s="150" t="str">
        <f ca="1">IF($B$52=1,SUM(L$55:U$55),"")</f>
        <v/>
      </c>
      <c r="L50" s="150" t="s">
        <v>1071</v>
      </c>
      <c r="M50" s="150" t="s">
        <v>1072</v>
      </c>
      <c r="N50" s="150" t="s">
        <v>1073</v>
      </c>
      <c r="O50" s="150" t="s">
        <v>1074</v>
      </c>
      <c r="P50" s="165" t="s">
        <v>1075</v>
      </c>
      <c r="Q50" s="88" t="s">
        <v>1087</v>
      </c>
      <c r="R50" s="165" t="s">
        <v>1076</v>
      </c>
      <c r="S50" s="165" t="s">
        <v>1077</v>
      </c>
      <c r="T50" s="165" t="s">
        <v>1078</v>
      </c>
      <c r="U50" s="165" t="s">
        <v>1079</v>
      </c>
      <c r="W50" t="s">
        <v>1099</v>
      </c>
    </row>
    <row r="51" spans="1:23" ht="13.2">
      <c r="A51" s="260"/>
      <c r="B51" s="267"/>
      <c r="C51" s="147" t="str">
        <f>LEFT(Kalk!$B28,5)</f>
        <v>F0201</v>
      </c>
      <c r="D51" s="147"/>
      <c r="E51" s="147">
        <f>Kalk!G28</f>
        <v>0</v>
      </c>
      <c r="F51" s="147"/>
      <c r="G51" s="280"/>
      <c r="H51" s="147"/>
      <c r="I51" s="269"/>
      <c r="J51" s="88">
        <f>Kalk!AH28</f>
        <v>0</v>
      </c>
      <c r="K51" s="150" t="str">
        <f ca="1">IF($B$52=1,SUM(L$55:U$55),"")</f>
        <v/>
      </c>
      <c r="L51" s="150">
        <f ca="1">IF(AND($B55&lt;1,$E51&lt;700,$H55=0,$G55=0),$X$3,0)</f>
        <v>0.25</v>
      </c>
      <c r="M51" s="151">
        <f ca="1">IF(AND($B55&gt;=1,$B55&lt;=2,$E51&lt;700,$H55=0,$G55=0),$Y$3,0)</f>
        <v>0</v>
      </c>
      <c r="N51" s="151">
        <f ca="1">IF(AND($B55&gt;2,$H55=0,$O51=0,$G55=0),$Z$3,0)</f>
        <v>0</v>
      </c>
      <c r="O51" s="151">
        <f>IF(AND($E51&gt;=700,$H55=0,$G55=0),$AA$3*E52,0)</f>
        <v>0</v>
      </c>
      <c r="P51" s="151">
        <f>IF($G55=1,$AB$3,0)</f>
        <v>0</v>
      </c>
      <c r="Q51" s="151">
        <f ca="1">IF(AND(G52=1,B55&lt;1),$X$3,   IF(AND(G52=1,B55&gt;=1,B55&lt;2),$Y$3,   IF(AND(G52=1, B55&gt;=2),$Z$3,  0)))</f>
        <v>0</v>
      </c>
      <c r="R51" s="152">
        <f ca="1">IF(AND($H55=1,$E51&lt;700,$E55=0,$G55=0),$AC$3+$F55,0)</f>
        <v>0</v>
      </c>
      <c r="S51" s="152">
        <f ca="1">IF(AND($H55=1,$E51&lt;700,$E55=1,$G55=0),$AD$3+$F55,0)</f>
        <v>0</v>
      </c>
      <c r="T51" s="152">
        <f ca="1">AND($H55=1,$E51&gt;=700,$E55=0,$G55=0)*($AE$3+$F55)</f>
        <v>0</v>
      </c>
      <c r="U51" s="152">
        <f ca="1">IF(AND($H55=1,$E51&gt;700,$E55=1,$G55=0),$AF$3+$F55,0)</f>
        <v>0</v>
      </c>
      <c r="W51" t="s">
        <v>1100</v>
      </c>
    </row>
    <row r="52" spans="1:23" ht="13.2">
      <c r="A52" s="260"/>
      <c r="B52" s="153">
        <f ca="1">IF(SUM(C52:D52)=2,1,0)</f>
        <v>0</v>
      </c>
      <c r="C52" s="88">
        <f>IF((VLOOKUP(C51,$W$1:$W$71,1,1)=C51),1,0)</f>
        <v>1</v>
      </c>
      <c r="D52" s="88">
        <f ca="1">IF(OR(AND(Kalk!N27="ETERNA",Kalk!N30="+KLEJ RĘCZNE"),Kalk!N28="TEXO+KLEJ",Kalk!N29="KYS"),1,0)</f>
        <v>0</v>
      </c>
      <c r="E52" s="88">
        <f>IF(E51&gt;1399,ROUND(E51/700,0),1)</f>
        <v>1</v>
      </c>
      <c r="F52" s="88"/>
      <c r="G52" s="88">
        <f>IF(C51="F0451",1,0)</f>
        <v>0</v>
      </c>
      <c r="H52" s="88"/>
      <c r="I52" s="154">
        <f>Kalk!M27</f>
        <v>0</v>
      </c>
      <c r="J52" s="88">
        <f>Kalk!AH29</f>
        <v>0</v>
      </c>
      <c r="K52" s="150" t="str">
        <f ca="1">IF($B$52=1,SUM(L$55:U$55),"")</f>
        <v/>
      </c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W52" t="s">
        <v>1101</v>
      </c>
    </row>
    <row r="53" spans="1:23" ht="12.9" customHeight="1">
      <c r="A53" s="260"/>
      <c r="B53" s="269" t="s">
        <v>968</v>
      </c>
      <c r="C53" s="147" t="s">
        <v>1082</v>
      </c>
      <c r="E53" s="269" t="s">
        <v>1083</v>
      </c>
      <c r="F53" s="269" t="s">
        <v>1084</v>
      </c>
      <c r="G53" s="269" t="s">
        <v>1075</v>
      </c>
      <c r="H53" s="269" t="s">
        <v>1085</v>
      </c>
      <c r="I53" s="269" t="s">
        <v>971</v>
      </c>
      <c r="J53" s="88">
        <f>Kalk!AH30</f>
        <v>0</v>
      </c>
      <c r="K53" s="150" t="str">
        <f ca="1">IF($B$52=1,SUM(L$55:U$55),"")</f>
        <v/>
      </c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W53" t="s">
        <v>1034</v>
      </c>
    </row>
    <row r="54" spans="1:23" ht="13.2">
      <c r="A54" s="260"/>
      <c r="B54" s="269"/>
      <c r="C54" s="88">
        <f>IF((VLOOKUP(C51,$W$1:$W$33,1,1)=C51),1,0)</f>
        <v>1</v>
      </c>
      <c r="D54" s="155"/>
      <c r="E54" s="269"/>
      <c r="F54" s="269"/>
      <c r="G54" s="269"/>
      <c r="H54" s="269"/>
      <c r="I54" s="269"/>
      <c r="J54" s="6"/>
      <c r="K54" s="157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W54" t="s">
        <v>1035</v>
      </c>
    </row>
    <row r="55" spans="1:23" ht="13.2">
      <c r="A55" s="260"/>
      <c r="B55" s="181">
        <f ca="1">IF(E55=1,PRODUCT(C55:D55)/1000000,Kalk!J27)</f>
        <v>3.7599999999999998E-4</v>
      </c>
      <c r="C55" s="114">
        <f ca="1">IF(E55=1,Kalk!H28,Kalk!I28)</f>
        <v>47</v>
      </c>
      <c r="D55" s="114">
        <f ca="1">IF(E55=1,Kalk!H30,Kalk!I30)</f>
        <v>8</v>
      </c>
      <c r="E55" s="154">
        <f ca="1">IF(Kalk!C27="two part box",1,0)</f>
        <v>0</v>
      </c>
      <c r="F55" s="158">
        <f>IF(H55=1,ROUNDUP(E51/100+1,0)*$AG$3,0)</f>
        <v>0</v>
      </c>
      <c r="G55" s="154">
        <f>IF(OR(C51="F0711",C51="F0713"),1,0)</f>
        <v>0</v>
      </c>
      <c r="H55" s="154">
        <f>IF(Kalk!M29="szycie",1,0)</f>
        <v>0</v>
      </c>
      <c r="I55" s="154">
        <f>Kalk!W27</f>
        <v>0</v>
      </c>
      <c r="J55" s="160"/>
      <c r="K55" s="161"/>
      <c r="L55" s="88">
        <f t="shared" ref="L55:U55" ca="1" si="6">SUM(L50:L54)</f>
        <v>0.25</v>
      </c>
      <c r="M55" s="88">
        <f t="shared" ca="1" si="6"/>
        <v>0</v>
      </c>
      <c r="N55" s="88">
        <f t="shared" ca="1" si="6"/>
        <v>0</v>
      </c>
      <c r="O55" s="88">
        <f t="shared" si="6"/>
        <v>0</v>
      </c>
      <c r="P55" s="88">
        <f t="shared" si="6"/>
        <v>0</v>
      </c>
      <c r="Q55" s="88">
        <f t="shared" ca="1" si="6"/>
        <v>0</v>
      </c>
      <c r="R55" s="88">
        <f t="shared" ca="1" si="6"/>
        <v>0</v>
      </c>
      <c r="S55" s="88">
        <f t="shared" ca="1" si="6"/>
        <v>0</v>
      </c>
      <c r="T55" s="88">
        <f t="shared" ca="1" si="6"/>
        <v>0</v>
      </c>
      <c r="U55" s="88">
        <f t="shared" ca="1" si="6"/>
        <v>0</v>
      </c>
      <c r="W55" t="s">
        <v>1036</v>
      </c>
    </row>
    <row r="56" spans="1:23" ht="13.2">
      <c r="A56" s="260"/>
      <c r="B56" s="123"/>
      <c r="C56" s="123"/>
      <c r="D56" s="123"/>
      <c r="E56" s="168"/>
      <c r="F56" s="166"/>
      <c r="G56" s="166"/>
      <c r="H56" s="166"/>
      <c r="I56" s="169"/>
      <c r="J56" s="166"/>
      <c r="W56" t="s">
        <v>1037</v>
      </c>
    </row>
    <row r="57" spans="1:23" ht="13.2">
      <c r="B57" s="167"/>
      <c r="C57" s="167"/>
      <c r="D57" s="167"/>
      <c r="E57" s="167"/>
      <c r="F57" s="167"/>
      <c r="G57" s="167"/>
      <c r="H57" s="167"/>
      <c r="I57" s="167"/>
      <c r="J57" s="88" t="s">
        <v>83</v>
      </c>
      <c r="K57" s="110" t="s">
        <v>956</v>
      </c>
      <c r="L57" s="279" t="s">
        <v>1065</v>
      </c>
      <c r="M57" s="279"/>
      <c r="N57" s="279"/>
      <c r="O57" s="279"/>
      <c r="P57" s="279"/>
      <c r="Q57" s="88"/>
      <c r="R57" s="262" t="s">
        <v>1066</v>
      </c>
      <c r="S57" s="262"/>
      <c r="T57" s="262"/>
      <c r="U57" s="262"/>
      <c r="W57" t="s">
        <v>1038</v>
      </c>
    </row>
    <row r="58" spans="1:23" ht="12.9" customHeight="1">
      <c r="A58" s="260">
        <v>8</v>
      </c>
      <c r="B58" s="267" t="s">
        <v>962</v>
      </c>
      <c r="C58" s="148" t="s">
        <v>964</v>
      </c>
      <c r="D58" s="147" t="s">
        <v>1069</v>
      </c>
      <c r="E58" s="147" t="s">
        <v>66</v>
      </c>
      <c r="F58" s="148"/>
      <c r="G58" s="280" t="s">
        <v>1070</v>
      </c>
      <c r="H58" s="148"/>
      <c r="I58" s="269" t="s">
        <v>965</v>
      </c>
      <c r="J58" s="88">
        <f>Kalk!AH31</f>
        <v>0</v>
      </c>
      <c r="K58" s="150" t="str">
        <f ca="1">IF($B$60=1,SUM(L$63:U$63),"")</f>
        <v/>
      </c>
      <c r="L58" s="150" t="s">
        <v>1071</v>
      </c>
      <c r="M58" s="150" t="s">
        <v>1072</v>
      </c>
      <c r="N58" s="150" t="s">
        <v>1073</v>
      </c>
      <c r="O58" s="150" t="s">
        <v>1074</v>
      </c>
      <c r="P58" s="165" t="s">
        <v>1075</v>
      </c>
      <c r="Q58" s="88" t="s">
        <v>1087</v>
      </c>
      <c r="R58" s="165" t="s">
        <v>1076</v>
      </c>
      <c r="S58" s="165" t="s">
        <v>1077</v>
      </c>
      <c r="T58" s="165" t="s">
        <v>1078</v>
      </c>
      <c r="U58" s="165" t="s">
        <v>1079</v>
      </c>
      <c r="W58" t="s">
        <v>1039</v>
      </c>
    </row>
    <row r="59" spans="1:23" ht="13.2">
      <c r="A59" s="260"/>
      <c r="B59" s="267"/>
      <c r="C59" s="147" t="str">
        <f>LEFT(Kalk!$B32,5)</f>
        <v>F0201</v>
      </c>
      <c r="D59" s="147"/>
      <c r="E59" s="147">
        <f>Kalk!G32</f>
        <v>0</v>
      </c>
      <c r="F59" s="147"/>
      <c r="G59" s="280"/>
      <c r="H59" s="147"/>
      <c r="I59" s="269"/>
      <c r="J59" s="88">
        <f>Kalk!AH32</f>
        <v>0</v>
      </c>
      <c r="K59" s="150" t="str">
        <f ca="1">IF($B$60=1,SUM(L$63:U$63),"")</f>
        <v/>
      </c>
      <c r="L59" s="150">
        <f ca="1">IF(AND($B63&lt;1,$E59&lt;700,$H63=0,$G63=0),$X$3,0)</f>
        <v>0.25</v>
      </c>
      <c r="M59" s="151">
        <f ca="1">IF(AND($B63&gt;=1,$B63&lt;=2,$E59&lt;700,$H63=0,$G63=0),$Y$3,0)</f>
        <v>0</v>
      </c>
      <c r="N59" s="151">
        <f ca="1">IF(AND($B63&gt;2,$H63=0,$O59=0,$G63=0),$Z$3,0)</f>
        <v>0</v>
      </c>
      <c r="O59" s="151">
        <f>IF(AND($E59&gt;=700,$H63=0,$G63=0),$AA$3*E60,0)</f>
        <v>0</v>
      </c>
      <c r="P59" s="151">
        <f>IF($G63=1,$AB$3,0)</f>
        <v>0</v>
      </c>
      <c r="Q59" s="151">
        <f ca="1">IF(AND(G60=1,B63&lt;1),$X$3,   IF(AND(G60=1,B63&gt;=1,B63&lt;2),$Y$3,   IF(AND(G60=1, B63&gt;=2),$Z$3,  0)))</f>
        <v>0</v>
      </c>
      <c r="R59" s="152">
        <f ca="1">IF(AND($H63=1,$E59&lt;700,$E63=0,$G63=0),$AC$3+$F63,0)</f>
        <v>0</v>
      </c>
      <c r="S59" s="152">
        <f ca="1">IF(AND($H63=1,$E59&lt;700,$E63=1,$G63=0),$AD$3+$F63,0)</f>
        <v>0</v>
      </c>
      <c r="T59" s="152">
        <f ca="1">AND($H63=1,$E59&gt;=700,$E63=0,$G63=0)*($AE$3+$F63)</f>
        <v>0</v>
      </c>
      <c r="U59" s="152">
        <f ca="1">IF(AND($H63=1,$E59&gt;700,$E63=1,$G63=0),$AF$3+$F63,0)</f>
        <v>0</v>
      </c>
      <c r="W59" t="s">
        <v>1040</v>
      </c>
    </row>
    <row r="60" spans="1:23" ht="13.2">
      <c r="A60" s="260"/>
      <c r="B60" s="153">
        <f ca="1">IF(SUM(C60:D60)=2,1,0)</f>
        <v>0</v>
      </c>
      <c r="C60" s="88">
        <f>IF((VLOOKUP(C59,$W$1:$W$71,1,1)=C59),1,0)</f>
        <v>1</v>
      </c>
      <c r="D60" s="88">
        <f ca="1">IF(OR(AND(Kalk!N31="ETERNA",Kalk!N34="+KLEJ RĘCZNE"),Kalk!N32="TEXO+KLEJ",Kalk!N33="KYS"),1,0)</f>
        <v>0</v>
      </c>
      <c r="E60" s="88">
        <f>IF(E59&gt;1399,ROUND(E59/700,0),1)</f>
        <v>1</v>
      </c>
      <c r="F60" s="88"/>
      <c r="G60" s="88">
        <f>IF(C59="F0451",1,0)</f>
        <v>0</v>
      </c>
      <c r="H60" s="88"/>
      <c r="I60" s="154">
        <f>Kalk!M31</f>
        <v>0</v>
      </c>
      <c r="J60" s="88">
        <f>Kalk!AH33</f>
        <v>0</v>
      </c>
      <c r="K60" s="150" t="str">
        <f ca="1">IF($B$60=1,SUM(L$63:U$63),"")</f>
        <v/>
      </c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W60" t="s">
        <v>1041</v>
      </c>
    </row>
    <row r="61" spans="1:23" ht="12.9" customHeight="1">
      <c r="A61" s="260"/>
      <c r="B61" s="269" t="s">
        <v>968</v>
      </c>
      <c r="C61" s="147" t="s">
        <v>1082</v>
      </c>
      <c r="E61" s="269" t="s">
        <v>1083</v>
      </c>
      <c r="F61" s="269" t="s">
        <v>1084</v>
      </c>
      <c r="G61" s="269" t="s">
        <v>1075</v>
      </c>
      <c r="H61" s="269" t="s">
        <v>1085</v>
      </c>
      <c r="I61" s="269" t="s">
        <v>971</v>
      </c>
      <c r="J61" s="88">
        <f>Kalk!AH34</f>
        <v>0</v>
      </c>
      <c r="K61" s="150" t="str">
        <f ca="1">IF($B$60=1,SUM(L$63:U$63),"")</f>
        <v/>
      </c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W61" t="s">
        <v>1042</v>
      </c>
    </row>
    <row r="62" spans="1:23" ht="13.2">
      <c r="A62" s="260"/>
      <c r="B62" s="269"/>
      <c r="C62" s="88">
        <f>IF((VLOOKUP(C59,$W$1:$W$33,1,1)=C59),1,0)</f>
        <v>1</v>
      </c>
      <c r="D62" s="155"/>
      <c r="E62" s="269"/>
      <c r="F62" s="269"/>
      <c r="G62" s="269"/>
      <c r="H62" s="269"/>
      <c r="I62" s="269"/>
      <c r="J62" s="6"/>
      <c r="K62" s="157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W62" t="s">
        <v>1043</v>
      </c>
    </row>
    <row r="63" spans="1:23" ht="13.2">
      <c r="A63" s="260"/>
      <c r="B63" s="181">
        <f ca="1">IF(E63=1,PRODUCT(C63:D63)/1000000,Kalk!J31)</f>
        <v>3.7599999999999998E-4</v>
      </c>
      <c r="C63" s="114">
        <f ca="1">IF(E63=1,Kalk!H32,Kalk!I32)</f>
        <v>47</v>
      </c>
      <c r="D63" s="114">
        <f ca="1">IF(E63=1,Kalk!H34,Kalk!I34)</f>
        <v>8</v>
      </c>
      <c r="E63" s="154">
        <f ca="1">IF(Kalk!C31="two part box",1,0)</f>
        <v>0</v>
      </c>
      <c r="F63" s="158">
        <f>IF(H63=1,ROUNDUP(E59/100+1,0)*$AG$3,0)</f>
        <v>0</v>
      </c>
      <c r="G63" s="154">
        <f>IF(OR(C59="F0711",C59="F0713"),1,0)</f>
        <v>0</v>
      </c>
      <c r="H63" s="154">
        <f>IF(Kalk!M33="szycie",1,0)</f>
        <v>0</v>
      </c>
      <c r="I63" s="154">
        <f>Kalk!W31</f>
        <v>0</v>
      </c>
      <c r="J63" s="160"/>
      <c r="K63" s="161"/>
      <c r="L63" s="88">
        <f t="shared" ref="L63:U63" ca="1" si="7">SUM(L58:L62)</f>
        <v>0.25</v>
      </c>
      <c r="M63" s="88">
        <f t="shared" ca="1" si="7"/>
        <v>0</v>
      </c>
      <c r="N63" s="88">
        <f t="shared" ca="1" si="7"/>
        <v>0</v>
      </c>
      <c r="O63" s="88">
        <f t="shared" si="7"/>
        <v>0</v>
      </c>
      <c r="P63" s="88">
        <f t="shared" si="7"/>
        <v>0</v>
      </c>
      <c r="Q63" s="88">
        <f t="shared" ca="1" si="7"/>
        <v>0</v>
      </c>
      <c r="R63" s="88">
        <f t="shared" ca="1" si="7"/>
        <v>0</v>
      </c>
      <c r="S63" s="88">
        <f t="shared" ca="1" si="7"/>
        <v>0</v>
      </c>
      <c r="T63" s="88">
        <f t="shared" ca="1" si="7"/>
        <v>0</v>
      </c>
      <c r="U63" s="88">
        <f t="shared" ca="1" si="7"/>
        <v>0</v>
      </c>
      <c r="W63" t="s">
        <v>1044</v>
      </c>
    </row>
    <row r="64" spans="1:23" ht="13.2">
      <c r="A64" s="260"/>
      <c r="B64" s="123"/>
      <c r="C64" s="123"/>
      <c r="D64" s="123"/>
      <c r="E64" s="168"/>
      <c r="F64" s="166"/>
      <c r="G64" s="166"/>
      <c r="H64" s="166"/>
      <c r="I64" s="169"/>
      <c r="J64" s="166"/>
      <c r="W64" t="s">
        <v>1045</v>
      </c>
    </row>
    <row r="65" spans="1:23" ht="13.2">
      <c r="B65" s="167"/>
      <c r="C65" s="167"/>
      <c r="D65" s="167"/>
      <c r="E65" s="167"/>
      <c r="F65" s="167"/>
      <c r="G65" s="167"/>
      <c r="H65" s="167"/>
      <c r="I65" s="167"/>
      <c r="J65" s="88" t="s">
        <v>83</v>
      </c>
      <c r="K65" s="110" t="s">
        <v>956</v>
      </c>
      <c r="L65" s="279" t="s">
        <v>1065</v>
      </c>
      <c r="M65" s="279"/>
      <c r="N65" s="279"/>
      <c r="O65" s="279"/>
      <c r="P65" s="279"/>
      <c r="Q65" s="88"/>
      <c r="R65" s="262" t="s">
        <v>1066</v>
      </c>
      <c r="S65" s="262"/>
      <c r="T65" s="262"/>
      <c r="U65" s="262"/>
      <c r="W65" t="s">
        <v>1046</v>
      </c>
    </row>
    <row r="66" spans="1:23" ht="12.9" customHeight="1">
      <c r="A66" s="260">
        <v>9</v>
      </c>
      <c r="B66" s="267" t="s">
        <v>962</v>
      </c>
      <c r="C66" s="148" t="s">
        <v>964</v>
      </c>
      <c r="D66" s="147" t="s">
        <v>1069</v>
      </c>
      <c r="E66" s="147" t="s">
        <v>66</v>
      </c>
      <c r="F66" s="148"/>
      <c r="G66" s="280" t="s">
        <v>1070</v>
      </c>
      <c r="H66" s="148"/>
      <c r="I66" s="269" t="s">
        <v>965</v>
      </c>
      <c r="J66" s="88">
        <f>Kalk!AH35</f>
        <v>0</v>
      </c>
      <c r="K66" s="150" t="str">
        <f ca="1">IF($B$68=1,SUM(L$71:U$71),"")</f>
        <v/>
      </c>
      <c r="L66" s="150" t="s">
        <v>1071</v>
      </c>
      <c r="M66" s="150" t="s">
        <v>1072</v>
      </c>
      <c r="N66" s="150" t="s">
        <v>1073</v>
      </c>
      <c r="O66" s="150" t="s">
        <v>1074</v>
      </c>
      <c r="P66" s="165" t="s">
        <v>1075</v>
      </c>
      <c r="Q66" s="88" t="s">
        <v>1087</v>
      </c>
      <c r="R66" s="165" t="s">
        <v>1076</v>
      </c>
      <c r="S66" s="165" t="s">
        <v>1077</v>
      </c>
      <c r="T66" s="165" t="s">
        <v>1078</v>
      </c>
      <c r="U66" s="165" t="s">
        <v>1079</v>
      </c>
      <c r="W66" t="s">
        <v>1047</v>
      </c>
    </row>
    <row r="67" spans="1:23" ht="13.2">
      <c r="A67" s="260"/>
      <c r="B67" s="267"/>
      <c r="C67" s="147" t="str">
        <f>LEFT(Kalk!$B36,5)</f>
        <v>F0201</v>
      </c>
      <c r="D67" s="147"/>
      <c r="E67" s="147">
        <f>Kalk!G36</f>
        <v>0</v>
      </c>
      <c r="F67" s="147"/>
      <c r="G67" s="280"/>
      <c r="H67" s="147"/>
      <c r="I67" s="269"/>
      <c r="J67" s="88">
        <f>Kalk!AH36</f>
        <v>0</v>
      </c>
      <c r="K67" s="150" t="str">
        <f ca="1">IF($B$68=1,SUM(L$71:U$71),"")</f>
        <v/>
      </c>
      <c r="L67" s="150">
        <f ca="1">IF(AND($B71&lt;1,$E67&lt;700,$H71=0,$G71=0),$X$3,0)</f>
        <v>0.25</v>
      </c>
      <c r="M67" s="151">
        <f ca="1">IF(AND($B71&gt;=1,$B71&lt;=2,$E67&lt;700,$H71=0,$G71=0),$Y$3,0)</f>
        <v>0</v>
      </c>
      <c r="N67" s="151">
        <f ca="1">IF(AND($B71&gt;2,$H71=0,$O67=0,$G71=0),$Z$3,0)</f>
        <v>0</v>
      </c>
      <c r="O67" s="151">
        <f>IF(AND($E67&gt;=700,$H71=0,$G71=0),$AA$3*E68,0)</f>
        <v>0</v>
      </c>
      <c r="P67" s="151">
        <f>IF($G71=1,$AB$3,0)</f>
        <v>0</v>
      </c>
      <c r="Q67" s="151">
        <f ca="1">IF(AND(G68=1,B71&lt;1),$X$3,   IF(AND(G68=1,B71&gt;=1,B71&lt;2),$Y$3,   IF(AND(G68=1, B71&gt;=2),$Z$3,  0)))</f>
        <v>0</v>
      </c>
      <c r="R67" s="152">
        <f ca="1">IF(AND($H71=1,$E67&lt;700,$E71=0,$G71=0),$AC$3+$F71,0)</f>
        <v>0</v>
      </c>
      <c r="S67" s="152">
        <f ca="1">IF(AND($H71=1,$E67&lt;700,$E71=1,$G71=0),$AD$3+$F71,0)</f>
        <v>0</v>
      </c>
      <c r="T67" s="152">
        <f ca="1">AND($H71=1,$E67&gt;=700,$E71=0,$G71=0)*($AE$3+$F71)</f>
        <v>0</v>
      </c>
      <c r="U67" s="152">
        <f ca="1">IF(AND($H71=1,$E67&gt;700,$E71=1,$G71=0),$AF$3+$F71,0)</f>
        <v>0</v>
      </c>
      <c r="W67" t="s">
        <v>1048</v>
      </c>
    </row>
    <row r="68" spans="1:23" ht="13.2">
      <c r="A68" s="260"/>
      <c r="B68" s="153">
        <f ca="1">IF(SUM(C68:D68)=2,1,0)</f>
        <v>0</v>
      </c>
      <c r="C68" s="88">
        <f>IF((VLOOKUP(C67,$W$1:$W$71,1,1)=C67),1,0)</f>
        <v>1</v>
      </c>
      <c r="D68" s="88">
        <f ca="1">IF(OR(AND(Kalk!N35="ETERNA",Kalk!N38="+KLEJ RĘCZNE"),Kalk!N36="TEXO+KLEJ",Kalk!N37="KYS"),1,0)</f>
        <v>0</v>
      </c>
      <c r="E68" s="88">
        <f>IF(E67&gt;1399,ROUND(E67/700,0),1)</f>
        <v>1</v>
      </c>
      <c r="F68" s="88"/>
      <c r="G68" s="88">
        <f>IF(C67="F0451",1,0)</f>
        <v>0</v>
      </c>
      <c r="H68" s="88"/>
      <c r="I68" s="154">
        <f>Kalk!M35</f>
        <v>0</v>
      </c>
      <c r="J68" s="88">
        <f>Kalk!AH37</f>
        <v>0</v>
      </c>
      <c r="K68" s="150" t="str">
        <f ca="1">IF($B$68=1,SUM(L$71:U$71),"")</f>
        <v/>
      </c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W68" t="s">
        <v>1049</v>
      </c>
    </row>
    <row r="69" spans="1:23" ht="12.9" customHeight="1">
      <c r="A69" s="260"/>
      <c r="B69" s="269" t="s">
        <v>968</v>
      </c>
      <c r="C69" s="147" t="s">
        <v>1082</v>
      </c>
      <c r="E69" s="269" t="s">
        <v>1083</v>
      </c>
      <c r="F69" s="269" t="s">
        <v>1084</v>
      </c>
      <c r="G69" s="269" t="s">
        <v>1075</v>
      </c>
      <c r="H69" s="269" t="s">
        <v>1085</v>
      </c>
      <c r="I69" s="269" t="s">
        <v>971</v>
      </c>
      <c r="J69" s="88">
        <f>Kalk!AH38</f>
        <v>0</v>
      </c>
      <c r="K69" s="150" t="str">
        <f ca="1">IF($B$68=1,SUM(L$71:U$71),"")</f>
        <v/>
      </c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W69" t="s">
        <v>1050</v>
      </c>
    </row>
    <row r="70" spans="1:23" ht="13.2">
      <c r="A70" s="260"/>
      <c r="B70" s="269"/>
      <c r="C70" s="88">
        <f>IF((VLOOKUP(C67,$W$1:$W$33,1,1)=C67),1,0)</f>
        <v>1</v>
      </c>
      <c r="D70" s="155"/>
      <c r="E70" s="269"/>
      <c r="F70" s="269"/>
      <c r="G70" s="269"/>
      <c r="H70" s="269"/>
      <c r="I70" s="269"/>
      <c r="J70" s="6"/>
      <c r="K70" s="157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W70" t="s">
        <v>1051</v>
      </c>
    </row>
    <row r="71" spans="1:23" ht="13.2">
      <c r="A71" s="260"/>
      <c r="B71" s="181">
        <f ca="1">IF(E71=1,PRODUCT(C71:D71)/1000000,Kalk!J35)</f>
        <v>3.7599999999999998E-4</v>
      </c>
      <c r="C71" s="114">
        <f ca="1">IF(E71=1,Kalk!H36,Kalk!I36)</f>
        <v>47</v>
      </c>
      <c r="D71" s="114">
        <f ca="1">IF(E71=1,Kalk!H38,Kalk!I38)</f>
        <v>8</v>
      </c>
      <c r="E71" s="154">
        <f ca="1">IF(Kalk!C35="two part box",1,0)</f>
        <v>0</v>
      </c>
      <c r="F71" s="158">
        <f>IF(H71=1,ROUNDUP(E67/100+1,0)*$AG$3,0)</f>
        <v>0</v>
      </c>
      <c r="G71" s="154">
        <f>IF(OR(C67="F0711",C67="F0713"),1,0)</f>
        <v>0</v>
      </c>
      <c r="H71" s="154">
        <f>IF(Kalk!M37="szycie",1,0)</f>
        <v>0</v>
      </c>
      <c r="I71" s="154">
        <f>Kalk!W39</f>
        <v>0</v>
      </c>
      <c r="J71" s="160"/>
      <c r="K71" s="161"/>
      <c r="L71" s="88">
        <f t="shared" ref="L71:U71" ca="1" si="8">SUM(L66:L70)</f>
        <v>0.25</v>
      </c>
      <c r="M71" s="88">
        <f t="shared" ca="1" si="8"/>
        <v>0</v>
      </c>
      <c r="N71" s="88">
        <f t="shared" ca="1" si="8"/>
        <v>0</v>
      </c>
      <c r="O71" s="88">
        <f t="shared" si="8"/>
        <v>0</v>
      </c>
      <c r="P71" s="88">
        <f t="shared" si="8"/>
        <v>0</v>
      </c>
      <c r="Q71" s="88">
        <f t="shared" ca="1" si="8"/>
        <v>0</v>
      </c>
      <c r="R71" s="88">
        <f t="shared" ca="1" si="8"/>
        <v>0</v>
      </c>
      <c r="S71" s="88">
        <f t="shared" ca="1" si="8"/>
        <v>0</v>
      </c>
      <c r="T71" s="88">
        <f t="shared" ca="1" si="8"/>
        <v>0</v>
      </c>
      <c r="U71" s="88">
        <f t="shared" ca="1" si="8"/>
        <v>0</v>
      </c>
      <c r="W71" t="s">
        <v>1052</v>
      </c>
    </row>
    <row r="72" spans="1:23" ht="13.2">
      <c r="A72" s="260"/>
      <c r="B72" s="123"/>
      <c r="C72" s="123"/>
      <c r="D72" s="123"/>
      <c r="E72" s="168"/>
      <c r="F72" s="166"/>
      <c r="G72" s="166"/>
      <c r="H72" s="166"/>
      <c r="I72" s="169"/>
      <c r="J72" s="166"/>
    </row>
    <row r="73" spans="1:23" ht="13.2">
      <c r="B73" s="167"/>
      <c r="C73" s="167"/>
      <c r="D73" s="167"/>
      <c r="E73" s="167"/>
      <c r="F73" s="167"/>
      <c r="G73" s="167"/>
      <c r="H73" s="167"/>
      <c r="I73" s="167"/>
      <c r="J73" s="88" t="s">
        <v>83</v>
      </c>
      <c r="K73" s="110" t="s">
        <v>956</v>
      </c>
      <c r="L73" s="279" t="s">
        <v>1065</v>
      </c>
      <c r="M73" s="279"/>
      <c r="N73" s="279"/>
      <c r="O73" s="279"/>
      <c r="P73" s="279"/>
      <c r="Q73" s="88"/>
      <c r="R73" s="262" t="s">
        <v>1066</v>
      </c>
      <c r="S73" s="262"/>
      <c r="T73" s="262"/>
      <c r="U73" s="262"/>
    </row>
    <row r="74" spans="1:23" ht="12.9" customHeight="1">
      <c r="A74" s="260">
        <v>10</v>
      </c>
      <c r="B74" s="267" t="s">
        <v>962</v>
      </c>
      <c r="C74" s="148" t="s">
        <v>964</v>
      </c>
      <c r="D74" s="147" t="s">
        <v>1069</v>
      </c>
      <c r="E74" s="147" t="s">
        <v>66</v>
      </c>
      <c r="F74" s="148"/>
      <c r="G74" s="280" t="s">
        <v>1070</v>
      </c>
      <c r="H74" s="148"/>
      <c r="I74" s="269" t="s">
        <v>965</v>
      </c>
      <c r="J74" s="88">
        <f>Kalk!AH39</f>
        <v>0</v>
      </c>
      <c r="K74" s="150" t="str">
        <f ca="1">IF($B$76=1,SUM(L$79:U$79),"")</f>
        <v/>
      </c>
      <c r="L74" s="150" t="s">
        <v>1071</v>
      </c>
      <c r="M74" s="150" t="s">
        <v>1072</v>
      </c>
      <c r="N74" s="150" t="s">
        <v>1073</v>
      </c>
      <c r="O74" s="150" t="s">
        <v>1074</v>
      </c>
      <c r="P74" s="165" t="s">
        <v>1075</v>
      </c>
      <c r="Q74" s="88" t="s">
        <v>1087</v>
      </c>
      <c r="R74" s="165" t="s">
        <v>1076</v>
      </c>
      <c r="S74" s="165" t="s">
        <v>1077</v>
      </c>
      <c r="T74" s="165" t="s">
        <v>1078</v>
      </c>
      <c r="U74" s="165" t="s">
        <v>1079</v>
      </c>
    </row>
    <row r="75" spans="1:23" ht="13.2">
      <c r="A75" s="260"/>
      <c r="B75" s="267"/>
      <c r="C75" s="147" t="str">
        <f>LEFT(Kalk!$B40,5)</f>
        <v>F0201</v>
      </c>
      <c r="D75" s="147"/>
      <c r="E75" s="147">
        <f>Kalk!G40</f>
        <v>0</v>
      </c>
      <c r="F75" s="147"/>
      <c r="G75" s="280"/>
      <c r="H75" s="147"/>
      <c r="I75" s="269"/>
      <c r="J75" s="88">
        <f>Kalk!AH40</f>
        <v>0</v>
      </c>
      <c r="K75" s="150" t="str">
        <f ca="1">IF($B$76=1,SUM(L$79:U$79),"")</f>
        <v/>
      </c>
      <c r="L75" s="150">
        <f ca="1">IF(AND($B79&lt;1,$E75&lt;700,$H79=0,$G79=0),$X$3,0)</f>
        <v>0.25</v>
      </c>
      <c r="M75" s="151">
        <f ca="1">IF(AND($B79&gt;=1,$B79&lt;=2,$E75&lt;700,$H79=0,$G79=0),$Y$3,0)</f>
        <v>0</v>
      </c>
      <c r="N75" s="151">
        <f ca="1">IF(AND($B79&gt;2,$H79=0,$O75=0,$G79=0),$Z$3,0)</f>
        <v>0</v>
      </c>
      <c r="O75" s="151">
        <f>IF(AND($E75&gt;=700,$H79=0,$G79=0),$AA$3*E76,0)</f>
        <v>0</v>
      </c>
      <c r="P75" s="151">
        <f>IF($G79=1,$AB$3,0)</f>
        <v>0</v>
      </c>
      <c r="Q75" s="151">
        <f ca="1">IF(AND(G76=1,B79&lt;1),$X$3,   IF(AND(G76=1,B79&gt;=1,B79&lt;2),$Y$3,   IF(AND(G76=1, B79&gt;=2),$Z$3,  0)))</f>
        <v>0</v>
      </c>
      <c r="R75" s="152">
        <f ca="1">IF(AND($H79=1,$E75&lt;700,$E79=0,$G79=0),$AC$3+$F79,0)</f>
        <v>0</v>
      </c>
      <c r="S75" s="152">
        <f ca="1">IF(AND($H79=1,$E75&lt;700,$E79=1,$G79=0),$AD$3+$F79,0)</f>
        <v>0</v>
      </c>
      <c r="T75" s="152">
        <f ca="1">AND($H79=1,$E75&gt;=700,$E79=0,$G79=0)*($AE$3+$F79)</f>
        <v>0</v>
      </c>
      <c r="U75" s="152">
        <f ca="1">IF(AND($H79=1,$E75&gt;700,$E79=1,$G79=0),$AF$3+$F79,0)</f>
        <v>0</v>
      </c>
    </row>
    <row r="76" spans="1:23" ht="13.2">
      <c r="A76" s="260"/>
      <c r="B76" s="153">
        <f ca="1">IF(SUM(C76:D76)=2,1,0)</f>
        <v>0</v>
      </c>
      <c r="C76" s="88">
        <f>IF((VLOOKUP(C75,$W$1:$W$71,1,1)=C75),1,0)</f>
        <v>1</v>
      </c>
      <c r="D76" s="88">
        <f ca="1">IF(OR(AND(Kalk!N39="ETERNA",Kalk!N42="+KLEJ RĘCZNE"),Kalk!N40="TEXO+KLEJ",Kalk!N41="KYS"),1,0)</f>
        <v>0</v>
      </c>
      <c r="E76" s="88">
        <f>IF(E75&gt;1399,ROUND(E75/700,0),1)</f>
        <v>1</v>
      </c>
      <c r="F76" s="88"/>
      <c r="G76" s="88">
        <f>IF(C75="F0451",1,0)</f>
        <v>0</v>
      </c>
      <c r="H76" s="88"/>
      <c r="I76" s="154">
        <f>Kalk!M39</f>
        <v>0</v>
      </c>
      <c r="J76" s="88">
        <f>Kalk!AH41</f>
        <v>0</v>
      </c>
      <c r="K76" s="150" t="str">
        <f ca="1">IF($B$76=1,SUM(L$79:U$79),"")</f>
        <v/>
      </c>
      <c r="L76" s="165"/>
      <c r="M76" s="165"/>
      <c r="N76" s="165"/>
      <c r="O76" s="165"/>
      <c r="P76" s="165"/>
      <c r="Q76" s="165"/>
      <c r="R76" s="165"/>
      <c r="S76" s="165"/>
      <c r="T76" s="165"/>
      <c r="U76" s="165"/>
    </row>
    <row r="77" spans="1:23" ht="12.9" customHeight="1">
      <c r="A77" s="260"/>
      <c r="B77" s="269" t="s">
        <v>968</v>
      </c>
      <c r="C77" s="147" t="s">
        <v>1082</v>
      </c>
      <c r="E77" s="269" t="s">
        <v>1083</v>
      </c>
      <c r="F77" s="269" t="s">
        <v>1084</v>
      </c>
      <c r="G77" s="269" t="s">
        <v>1075</v>
      </c>
      <c r="H77" s="269" t="s">
        <v>1085</v>
      </c>
      <c r="I77" s="269" t="s">
        <v>971</v>
      </c>
      <c r="J77" s="88">
        <f>Kalk!AH42</f>
        <v>0</v>
      </c>
      <c r="K77" s="150" t="str">
        <f ca="1">IF($B$76=1,SUM(L$79:U$79),"")</f>
        <v/>
      </c>
      <c r="L77" s="165"/>
      <c r="M77" s="165"/>
      <c r="N77" s="165"/>
      <c r="O77" s="165"/>
      <c r="P77" s="165"/>
      <c r="Q77" s="165"/>
      <c r="R77" s="165"/>
      <c r="S77" s="165"/>
      <c r="T77" s="165"/>
      <c r="U77" s="165"/>
    </row>
    <row r="78" spans="1:23" ht="13.2">
      <c r="A78" s="260"/>
      <c r="B78" s="269"/>
      <c r="C78" s="88">
        <f>IF((VLOOKUP(C75,$W$1:$W$33,1,1)=C75),1,0)</f>
        <v>1</v>
      </c>
      <c r="D78" s="155"/>
      <c r="E78" s="269"/>
      <c r="F78" s="269"/>
      <c r="G78" s="269"/>
      <c r="H78" s="269"/>
      <c r="I78" s="269"/>
      <c r="J78" s="6"/>
      <c r="K78" s="157"/>
      <c r="L78" s="179"/>
      <c r="M78" s="179"/>
      <c r="N78" s="179"/>
      <c r="O78" s="179"/>
      <c r="P78" s="179"/>
      <c r="Q78" s="179"/>
      <c r="R78" s="179"/>
      <c r="S78" s="179"/>
      <c r="T78" s="179"/>
      <c r="U78" s="179"/>
    </row>
    <row r="79" spans="1:23" ht="13.2">
      <c r="A79" s="260"/>
      <c r="B79" s="181">
        <f ca="1">IF(E79=1,PRODUCT(C79:D79)/1000000,Kalk!J39)</f>
        <v>3.7599999999999998E-4</v>
      </c>
      <c r="C79" s="114">
        <f ca="1">IF(E79=1,Kalk!H40,Kalk!I40)</f>
        <v>47</v>
      </c>
      <c r="D79" s="114">
        <f ca="1">IF(E79=1,Kalk!H42,Kalk!I42)</f>
        <v>8</v>
      </c>
      <c r="E79" s="154">
        <f ca="1">IF(Kalk!C39="two part box",1,0)</f>
        <v>0</v>
      </c>
      <c r="F79" s="158">
        <f>IF(H79=1,ROUNDUP(E75/100+1,0)*$AG$3,0)</f>
        <v>0</v>
      </c>
      <c r="G79" s="154">
        <f>IF(OR(C75="F0711",C75="F0713"),1,0)</f>
        <v>0</v>
      </c>
      <c r="H79" s="154">
        <f>IF(Kalk!M41="szycie",1,0)</f>
        <v>0</v>
      </c>
      <c r="I79" s="154">
        <f>Kalk!W39</f>
        <v>0</v>
      </c>
      <c r="J79" s="160"/>
      <c r="K79" s="161"/>
      <c r="L79" s="88">
        <f t="shared" ref="L79:U79" ca="1" si="9">SUM(L74:L78)</f>
        <v>0.25</v>
      </c>
      <c r="M79" s="88">
        <f t="shared" ca="1" si="9"/>
        <v>0</v>
      </c>
      <c r="N79" s="88">
        <f t="shared" ca="1" si="9"/>
        <v>0</v>
      </c>
      <c r="O79" s="88">
        <f t="shared" si="9"/>
        <v>0</v>
      </c>
      <c r="P79" s="88">
        <f t="shared" si="9"/>
        <v>0</v>
      </c>
      <c r="Q79" s="88">
        <f t="shared" ca="1" si="9"/>
        <v>0</v>
      </c>
      <c r="R79" s="88">
        <f t="shared" ca="1" si="9"/>
        <v>0</v>
      </c>
      <c r="S79" s="88">
        <f t="shared" ca="1" si="9"/>
        <v>0</v>
      </c>
      <c r="T79" s="88">
        <f t="shared" ca="1" si="9"/>
        <v>0</v>
      </c>
      <c r="U79" s="88">
        <f t="shared" ca="1" si="9"/>
        <v>0</v>
      </c>
    </row>
    <row r="80" spans="1:23" ht="13.2">
      <c r="A80" s="260"/>
      <c r="B80" s="123"/>
      <c r="C80" s="123"/>
      <c r="D80" s="123"/>
      <c r="E80" s="168"/>
      <c r="F80" s="166"/>
      <c r="G80" s="166"/>
      <c r="H80" s="166"/>
      <c r="I80" s="169"/>
      <c r="J80" s="166"/>
    </row>
  </sheetData>
  <mergeCells count="123">
    <mergeCell ref="L1:P1"/>
    <mergeCell ref="R1:U1"/>
    <mergeCell ref="X1:AB1"/>
    <mergeCell ref="AC1:AF1"/>
    <mergeCell ref="AG1:AG2"/>
    <mergeCell ref="A2:A8"/>
    <mergeCell ref="B2:B3"/>
    <mergeCell ref="G2:G3"/>
    <mergeCell ref="I2:I3"/>
    <mergeCell ref="B5:B6"/>
    <mergeCell ref="E5:E6"/>
    <mergeCell ref="F5:F6"/>
    <mergeCell ref="G5:G6"/>
    <mergeCell ref="H5:H6"/>
    <mergeCell ref="I5:I6"/>
    <mergeCell ref="L9:P9"/>
    <mergeCell ref="R9:U9"/>
    <mergeCell ref="A10:A16"/>
    <mergeCell ref="B10:B11"/>
    <mergeCell ref="G10:G11"/>
    <mergeCell ref="I10:I11"/>
    <mergeCell ref="B13:B14"/>
    <mergeCell ref="E13:E14"/>
    <mergeCell ref="F13:F14"/>
    <mergeCell ref="G13:G14"/>
    <mergeCell ref="H13:H14"/>
    <mergeCell ref="I13:I14"/>
    <mergeCell ref="L17:P17"/>
    <mergeCell ref="R17:U17"/>
    <mergeCell ref="A18:A24"/>
    <mergeCell ref="B18:B19"/>
    <mergeCell ref="G18:G19"/>
    <mergeCell ref="I18:I19"/>
    <mergeCell ref="B21:B22"/>
    <mergeCell ref="E21:E22"/>
    <mergeCell ref="F21:F22"/>
    <mergeCell ref="G21:G22"/>
    <mergeCell ref="H21:H22"/>
    <mergeCell ref="I21:I22"/>
    <mergeCell ref="L25:P25"/>
    <mergeCell ref="R25:U25"/>
    <mergeCell ref="A26:A32"/>
    <mergeCell ref="B26:B27"/>
    <mergeCell ref="G26:G27"/>
    <mergeCell ref="I26:I27"/>
    <mergeCell ref="B29:B30"/>
    <mergeCell ref="E29:E30"/>
    <mergeCell ref="F29:F30"/>
    <mergeCell ref="G29:G30"/>
    <mergeCell ref="H29:H30"/>
    <mergeCell ref="I29:I30"/>
    <mergeCell ref="L33:P33"/>
    <mergeCell ref="R33:U33"/>
    <mergeCell ref="A34:A40"/>
    <mergeCell ref="B34:B35"/>
    <mergeCell ref="G34:G35"/>
    <mergeCell ref="I34:I35"/>
    <mergeCell ref="B37:B38"/>
    <mergeCell ref="E37:E38"/>
    <mergeCell ref="F37:F38"/>
    <mergeCell ref="G37:G38"/>
    <mergeCell ref="H37:H38"/>
    <mergeCell ref="I37:I38"/>
    <mergeCell ref="L41:P41"/>
    <mergeCell ref="R41:U41"/>
    <mergeCell ref="A42:A48"/>
    <mergeCell ref="B42:B43"/>
    <mergeCell ref="G42:G43"/>
    <mergeCell ref="I42:I43"/>
    <mergeCell ref="B45:B46"/>
    <mergeCell ref="E45:E46"/>
    <mergeCell ref="F45:F46"/>
    <mergeCell ref="G45:G46"/>
    <mergeCell ref="H45:H46"/>
    <mergeCell ref="I45:I46"/>
    <mergeCell ref="L49:P49"/>
    <mergeCell ref="R49:U49"/>
    <mergeCell ref="A50:A56"/>
    <mergeCell ref="B50:B51"/>
    <mergeCell ref="G50:G51"/>
    <mergeCell ref="I50:I51"/>
    <mergeCell ref="B53:B54"/>
    <mergeCell ref="E53:E54"/>
    <mergeCell ref="F53:F54"/>
    <mergeCell ref="G53:G54"/>
    <mergeCell ref="H53:H54"/>
    <mergeCell ref="I53:I54"/>
    <mergeCell ref="L57:P57"/>
    <mergeCell ref="R57:U57"/>
    <mergeCell ref="A58:A64"/>
    <mergeCell ref="B58:B59"/>
    <mergeCell ref="G58:G59"/>
    <mergeCell ref="I58:I59"/>
    <mergeCell ref="B61:B62"/>
    <mergeCell ref="E61:E62"/>
    <mergeCell ref="F61:F62"/>
    <mergeCell ref="G61:G62"/>
    <mergeCell ref="H61:H62"/>
    <mergeCell ref="I61:I62"/>
    <mergeCell ref="L65:P65"/>
    <mergeCell ref="R65:U65"/>
    <mergeCell ref="A66:A72"/>
    <mergeCell ref="B66:B67"/>
    <mergeCell ref="G66:G67"/>
    <mergeCell ref="I66:I67"/>
    <mergeCell ref="B69:B70"/>
    <mergeCell ref="E69:E70"/>
    <mergeCell ref="F69:F70"/>
    <mergeCell ref="G69:G70"/>
    <mergeCell ref="H69:H70"/>
    <mergeCell ref="I69:I70"/>
    <mergeCell ref="L73:P73"/>
    <mergeCell ref="R73:U73"/>
    <mergeCell ref="A74:A80"/>
    <mergeCell ref="B74:B75"/>
    <mergeCell ref="G74:G75"/>
    <mergeCell ref="I74:I75"/>
    <mergeCell ref="B77:B78"/>
    <mergeCell ref="E77:E78"/>
    <mergeCell ref="F77:F78"/>
    <mergeCell ref="G77:G78"/>
    <mergeCell ref="H77:H78"/>
    <mergeCell ref="I77:I78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FFC000"/>
    <pageSetUpPr fitToPage="1"/>
  </sheetPr>
  <dimension ref="A1:AMJ63"/>
  <sheetViews>
    <sheetView zoomScale="74" zoomScaleNormal="74" workbookViewId="0">
      <selection activeCell="I3" sqref="I3"/>
    </sheetView>
  </sheetViews>
  <sheetFormatPr defaultColWidth="11.5546875" defaultRowHeight="12.75" customHeight="1"/>
  <cols>
    <col min="2" max="2" width="20.33203125" customWidth="1"/>
    <col min="3" max="3" width="14.6640625" customWidth="1"/>
    <col min="4" max="4" width="13" customWidth="1"/>
    <col min="5" max="5" width="14.6640625" customWidth="1"/>
    <col min="6" max="6" width="23.6640625" customWidth="1"/>
    <col min="7" max="7" width="20.6640625" customWidth="1"/>
    <col min="9" max="9" width="13.109375" customWidth="1"/>
    <col min="10" max="10" width="15.109375" customWidth="1"/>
    <col min="11" max="11" width="39.5546875" customWidth="1"/>
  </cols>
  <sheetData>
    <row r="1" spans="1:13" ht="57.6">
      <c r="A1" s="182" t="s">
        <v>1102</v>
      </c>
      <c r="B1" s="183" t="s">
        <v>1103</v>
      </c>
      <c r="C1" s="183" t="s">
        <v>1104</v>
      </c>
      <c r="D1" s="183" t="s">
        <v>1105</v>
      </c>
      <c r="E1" s="183" t="s">
        <v>1106</v>
      </c>
      <c r="F1" s="183" t="s">
        <v>1107</v>
      </c>
      <c r="G1" s="183" t="s">
        <v>1108</v>
      </c>
      <c r="H1" s="184" t="s">
        <v>1109</v>
      </c>
      <c r="I1" s="185" t="s">
        <v>1110</v>
      </c>
      <c r="M1" t="s">
        <v>1111</v>
      </c>
    </row>
    <row r="2" spans="1:13" ht="14.4">
      <c r="A2" s="186">
        <v>1</v>
      </c>
      <c r="B2" s="187">
        <v>260</v>
      </c>
      <c r="C2" s="187">
        <v>280</v>
      </c>
      <c r="D2" s="187">
        <v>280</v>
      </c>
      <c r="E2" s="187">
        <v>300</v>
      </c>
      <c r="F2" s="188">
        <v>370</v>
      </c>
      <c r="G2" s="187">
        <v>500</v>
      </c>
      <c r="H2" s="187">
        <v>550</v>
      </c>
      <c r="I2" s="187">
        <f t="shared" ref="I2:I28" si="0">65*A2</f>
        <v>65</v>
      </c>
      <c r="M2" s="189" t="s">
        <v>1112</v>
      </c>
    </row>
    <row r="3" spans="1:13" ht="14.4">
      <c r="A3" s="186">
        <v>2</v>
      </c>
      <c r="B3" s="187">
        <v>340</v>
      </c>
      <c r="C3" s="187">
        <v>360</v>
      </c>
      <c r="D3" s="187">
        <v>360</v>
      </c>
      <c r="E3" s="187">
        <v>390</v>
      </c>
      <c r="F3" s="188">
        <v>460</v>
      </c>
      <c r="G3" s="187">
        <v>650</v>
      </c>
      <c r="H3" s="187">
        <v>730</v>
      </c>
      <c r="I3" s="187">
        <f t="shared" si="0"/>
        <v>130</v>
      </c>
      <c r="M3" s="189" t="s">
        <v>1113</v>
      </c>
    </row>
    <row r="4" spans="1:13" ht="14.4">
      <c r="A4" s="186">
        <v>3</v>
      </c>
      <c r="B4" s="187">
        <v>400</v>
      </c>
      <c r="C4" s="187">
        <v>420</v>
      </c>
      <c r="D4" s="187">
        <v>420</v>
      </c>
      <c r="E4" s="187">
        <v>450</v>
      </c>
      <c r="F4" s="188">
        <v>550</v>
      </c>
      <c r="G4" s="187">
        <v>800</v>
      </c>
      <c r="H4" s="187">
        <v>880</v>
      </c>
      <c r="I4" s="187">
        <f t="shared" si="0"/>
        <v>195</v>
      </c>
      <c r="M4" s="189" t="s">
        <v>1114</v>
      </c>
    </row>
    <row r="5" spans="1:13" ht="14.4">
      <c r="A5" s="186">
        <v>4</v>
      </c>
      <c r="B5" s="187">
        <v>480</v>
      </c>
      <c r="C5" s="187">
        <v>500</v>
      </c>
      <c r="D5" s="187">
        <v>500</v>
      </c>
      <c r="E5" s="187">
        <v>530</v>
      </c>
      <c r="F5" s="188">
        <v>650</v>
      </c>
      <c r="G5" s="187">
        <v>950</v>
      </c>
      <c r="H5" s="187">
        <v>1030</v>
      </c>
      <c r="I5" s="187">
        <f t="shared" si="0"/>
        <v>260</v>
      </c>
      <c r="M5" s="189" t="s">
        <v>1115</v>
      </c>
    </row>
    <row r="6" spans="1:13" ht="14.4">
      <c r="A6" s="186">
        <v>5</v>
      </c>
      <c r="B6" s="187">
        <v>540</v>
      </c>
      <c r="C6" s="187">
        <v>580</v>
      </c>
      <c r="D6" s="187">
        <v>580</v>
      </c>
      <c r="E6" s="187">
        <v>620</v>
      </c>
      <c r="F6" s="188">
        <v>740</v>
      </c>
      <c r="G6" s="187">
        <v>1100</v>
      </c>
      <c r="H6" s="187">
        <v>1200</v>
      </c>
      <c r="I6" s="187">
        <f t="shared" si="0"/>
        <v>325</v>
      </c>
    </row>
    <row r="7" spans="1:13" ht="14.4">
      <c r="A7" s="186">
        <v>6</v>
      </c>
      <c r="B7" s="187">
        <v>620</v>
      </c>
      <c r="C7" s="187">
        <v>660</v>
      </c>
      <c r="D7" s="187">
        <v>660</v>
      </c>
      <c r="E7" s="187">
        <v>700</v>
      </c>
      <c r="F7" s="188">
        <v>830</v>
      </c>
      <c r="G7" s="187">
        <v>1250</v>
      </c>
      <c r="H7" s="187">
        <v>1350</v>
      </c>
      <c r="I7" s="187">
        <f t="shared" si="0"/>
        <v>390</v>
      </c>
    </row>
    <row r="8" spans="1:13" ht="14.4">
      <c r="A8" s="186">
        <v>7</v>
      </c>
      <c r="B8" s="187">
        <v>700</v>
      </c>
      <c r="C8" s="187">
        <v>740</v>
      </c>
      <c r="D8" s="187">
        <v>740</v>
      </c>
      <c r="E8" s="187">
        <v>790</v>
      </c>
      <c r="F8" s="188">
        <v>920</v>
      </c>
      <c r="G8" s="187">
        <v>1350</v>
      </c>
      <c r="H8" s="187">
        <v>1450</v>
      </c>
      <c r="I8" s="187">
        <f t="shared" si="0"/>
        <v>455</v>
      </c>
    </row>
    <row r="9" spans="1:13" ht="14.4">
      <c r="A9" s="186">
        <v>8</v>
      </c>
      <c r="B9" s="187">
        <v>780</v>
      </c>
      <c r="C9" s="187">
        <v>820</v>
      </c>
      <c r="D9" s="187">
        <v>820</v>
      </c>
      <c r="E9" s="187">
        <v>870</v>
      </c>
      <c r="F9" s="188">
        <v>1020</v>
      </c>
      <c r="G9" s="187">
        <v>1450</v>
      </c>
      <c r="H9" s="187">
        <v>1550</v>
      </c>
      <c r="I9" s="187">
        <f t="shared" si="0"/>
        <v>520</v>
      </c>
    </row>
    <row r="10" spans="1:13" ht="14.4">
      <c r="A10" s="186">
        <v>9</v>
      </c>
      <c r="B10" s="187">
        <v>860</v>
      </c>
      <c r="C10" s="187">
        <v>900</v>
      </c>
      <c r="D10" s="187">
        <v>900</v>
      </c>
      <c r="E10" s="187">
        <v>960</v>
      </c>
      <c r="F10" s="188">
        <v>1110</v>
      </c>
      <c r="G10" s="187">
        <v>1550</v>
      </c>
      <c r="H10" s="187">
        <v>1650</v>
      </c>
      <c r="I10" s="187">
        <f t="shared" si="0"/>
        <v>585</v>
      </c>
    </row>
    <row r="11" spans="1:13" ht="14.4">
      <c r="A11" s="186">
        <v>10</v>
      </c>
      <c r="B11" s="187">
        <v>940</v>
      </c>
      <c r="C11" s="187">
        <v>980</v>
      </c>
      <c r="D11" s="187">
        <v>980</v>
      </c>
      <c r="E11" s="187">
        <v>1060</v>
      </c>
      <c r="F11" s="188">
        <v>1200</v>
      </c>
      <c r="G11" s="187">
        <v>1650</v>
      </c>
      <c r="H11" s="187">
        <v>1750</v>
      </c>
      <c r="I11" s="187">
        <f t="shared" si="0"/>
        <v>650</v>
      </c>
    </row>
    <row r="12" spans="1:13" ht="14.4">
      <c r="A12" s="186">
        <v>11</v>
      </c>
      <c r="B12" s="187">
        <v>1000</v>
      </c>
      <c r="C12" s="187">
        <v>1060</v>
      </c>
      <c r="D12" s="187">
        <v>1060</v>
      </c>
      <c r="E12" s="187">
        <v>1140</v>
      </c>
      <c r="F12" s="188">
        <v>1300</v>
      </c>
      <c r="G12" s="187">
        <v>1750</v>
      </c>
      <c r="H12" s="187">
        <v>1850</v>
      </c>
      <c r="I12" s="187">
        <f t="shared" si="0"/>
        <v>715</v>
      </c>
    </row>
    <row r="13" spans="1:13" ht="14.4">
      <c r="A13" s="186">
        <v>12</v>
      </c>
      <c r="B13" s="187">
        <v>1050</v>
      </c>
      <c r="C13" s="187">
        <v>1140</v>
      </c>
      <c r="D13" s="187">
        <v>1140</v>
      </c>
      <c r="E13" s="187">
        <v>1220</v>
      </c>
      <c r="F13" s="188">
        <v>1390</v>
      </c>
      <c r="G13" s="187">
        <v>1850</v>
      </c>
      <c r="H13" s="187">
        <v>1950</v>
      </c>
      <c r="I13" s="187">
        <f t="shared" si="0"/>
        <v>780</v>
      </c>
    </row>
    <row r="14" spans="1:13" ht="14.4">
      <c r="A14" s="186">
        <v>13</v>
      </c>
      <c r="B14" s="187">
        <v>1100</v>
      </c>
      <c r="C14" s="187">
        <v>1200</v>
      </c>
      <c r="D14" s="187">
        <v>1220</v>
      </c>
      <c r="E14" s="187">
        <v>1300</v>
      </c>
      <c r="F14" s="188">
        <v>1480</v>
      </c>
      <c r="G14" s="187">
        <v>1950</v>
      </c>
      <c r="H14" s="187">
        <v>2050</v>
      </c>
      <c r="I14" s="187">
        <f t="shared" si="0"/>
        <v>845</v>
      </c>
    </row>
    <row r="15" spans="1:13" ht="14.4">
      <c r="A15" s="186">
        <v>14</v>
      </c>
      <c r="B15" s="187">
        <v>1150</v>
      </c>
      <c r="C15" s="187">
        <v>1250</v>
      </c>
      <c r="D15" s="187">
        <v>1300</v>
      </c>
      <c r="E15" s="187">
        <v>1380</v>
      </c>
      <c r="F15" s="188">
        <v>1570</v>
      </c>
      <c r="G15" s="187">
        <v>2010</v>
      </c>
      <c r="H15" s="187">
        <v>2150</v>
      </c>
      <c r="I15" s="187">
        <f t="shared" si="0"/>
        <v>910</v>
      </c>
    </row>
    <row r="16" spans="1:13" ht="14.4">
      <c r="A16" s="186">
        <v>15</v>
      </c>
      <c r="B16" s="187">
        <v>1200</v>
      </c>
      <c r="C16" s="187">
        <v>1300</v>
      </c>
      <c r="D16" s="187">
        <v>1360</v>
      </c>
      <c r="E16" s="187">
        <v>1440</v>
      </c>
      <c r="F16" s="188">
        <v>1670</v>
      </c>
      <c r="G16" s="187">
        <v>2060</v>
      </c>
      <c r="H16" s="187">
        <v>2250</v>
      </c>
      <c r="I16" s="187">
        <f t="shared" si="0"/>
        <v>975</v>
      </c>
    </row>
    <row r="17" spans="1:16" ht="14.4">
      <c r="A17" s="186">
        <v>16</v>
      </c>
      <c r="B17" s="187">
        <v>1250</v>
      </c>
      <c r="C17" s="187">
        <v>1350</v>
      </c>
      <c r="D17" s="187">
        <v>1420</v>
      </c>
      <c r="E17" s="187">
        <v>1500</v>
      </c>
      <c r="F17" s="188">
        <v>1760</v>
      </c>
      <c r="G17" s="187">
        <v>2160</v>
      </c>
      <c r="H17" s="187">
        <v>2350</v>
      </c>
      <c r="I17" s="187">
        <f t="shared" si="0"/>
        <v>1040</v>
      </c>
    </row>
    <row r="18" spans="1:16" ht="14.4">
      <c r="A18" s="186">
        <v>17</v>
      </c>
      <c r="B18" s="187">
        <v>1300</v>
      </c>
      <c r="C18" s="187">
        <v>1400</v>
      </c>
      <c r="D18" s="187">
        <v>1480</v>
      </c>
      <c r="E18" s="187">
        <v>1560</v>
      </c>
      <c r="F18" s="188">
        <v>1850</v>
      </c>
      <c r="G18" s="187">
        <v>2260</v>
      </c>
      <c r="H18" s="187">
        <v>2450</v>
      </c>
      <c r="I18" s="187">
        <f t="shared" si="0"/>
        <v>1105</v>
      </c>
    </row>
    <row r="19" spans="1:16" ht="14.4">
      <c r="A19" s="186">
        <v>18</v>
      </c>
      <c r="B19" s="187">
        <v>1350</v>
      </c>
      <c r="C19" s="187">
        <v>1450</v>
      </c>
      <c r="D19" s="187">
        <v>1540</v>
      </c>
      <c r="E19" s="187">
        <v>1620</v>
      </c>
      <c r="F19" s="188">
        <v>1950</v>
      </c>
      <c r="G19" s="187">
        <v>2360</v>
      </c>
      <c r="H19" s="187">
        <v>2550</v>
      </c>
      <c r="I19" s="187">
        <f t="shared" si="0"/>
        <v>1170</v>
      </c>
      <c r="P19" s="189"/>
    </row>
    <row r="20" spans="1:16" ht="14.4">
      <c r="A20" s="186">
        <v>19</v>
      </c>
      <c r="B20" s="190">
        <v>1400</v>
      </c>
      <c r="C20" s="187">
        <v>1500</v>
      </c>
      <c r="D20" s="187">
        <v>1600</v>
      </c>
      <c r="E20" s="187">
        <v>1680</v>
      </c>
      <c r="F20" s="188">
        <v>2040</v>
      </c>
      <c r="G20" s="187">
        <v>2460</v>
      </c>
      <c r="H20" s="187">
        <v>2650</v>
      </c>
      <c r="I20" s="187">
        <f t="shared" si="0"/>
        <v>1235</v>
      </c>
      <c r="P20" s="189"/>
    </row>
    <row r="21" spans="1:16" ht="14.4">
      <c r="A21" s="186">
        <v>20</v>
      </c>
      <c r="B21" s="191">
        <v>1450</v>
      </c>
      <c r="C21" s="187">
        <v>1550</v>
      </c>
      <c r="D21" s="187">
        <v>1650</v>
      </c>
      <c r="E21" s="187">
        <v>1740</v>
      </c>
      <c r="F21" s="188">
        <v>2130</v>
      </c>
      <c r="G21" s="187">
        <v>2560</v>
      </c>
      <c r="H21" s="187">
        <v>2750</v>
      </c>
      <c r="I21" s="187">
        <f t="shared" si="0"/>
        <v>1300</v>
      </c>
      <c r="P21" s="189"/>
    </row>
    <row r="22" spans="1:16" ht="14.4">
      <c r="A22" s="186">
        <v>21</v>
      </c>
      <c r="B22" s="191">
        <v>1500</v>
      </c>
      <c r="C22" s="187">
        <v>1600</v>
      </c>
      <c r="D22" s="187">
        <v>1700</v>
      </c>
      <c r="E22" s="187">
        <v>1800</v>
      </c>
      <c r="F22" s="188">
        <v>2220</v>
      </c>
      <c r="G22" s="187">
        <v>2620</v>
      </c>
      <c r="H22" s="187">
        <v>2820</v>
      </c>
      <c r="I22" s="187">
        <f t="shared" si="0"/>
        <v>1365</v>
      </c>
      <c r="P22" s="189"/>
    </row>
    <row r="23" spans="1:16" ht="14.4">
      <c r="A23" s="186">
        <v>22</v>
      </c>
      <c r="B23" s="190">
        <v>1550</v>
      </c>
      <c r="C23" s="187">
        <v>1650</v>
      </c>
      <c r="D23" s="187">
        <v>1750</v>
      </c>
      <c r="E23" s="187">
        <v>1850</v>
      </c>
      <c r="F23" s="188">
        <v>2310</v>
      </c>
      <c r="G23" s="187">
        <v>2670</v>
      </c>
      <c r="H23" s="187">
        <v>2870</v>
      </c>
      <c r="I23" s="187">
        <f t="shared" si="0"/>
        <v>1430</v>
      </c>
    </row>
    <row r="24" spans="1:16" ht="14.4">
      <c r="A24" s="186">
        <v>23</v>
      </c>
      <c r="B24" s="187">
        <v>1600</v>
      </c>
      <c r="C24" s="187">
        <v>1700</v>
      </c>
      <c r="D24" s="187">
        <v>1800</v>
      </c>
      <c r="E24" s="187">
        <v>1900</v>
      </c>
      <c r="F24" s="188">
        <v>2400</v>
      </c>
      <c r="G24" s="187">
        <v>2720</v>
      </c>
      <c r="H24" s="187">
        <v>2920</v>
      </c>
      <c r="I24" s="187">
        <f t="shared" si="0"/>
        <v>1495</v>
      </c>
    </row>
    <row r="25" spans="1:16" ht="14.4">
      <c r="A25" s="186">
        <v>24</v>
      </c>
      <c r="B25" s="187">
        <v>1650</v>
      </c>
      <c r="C25" s="187">
        <v>1750</v>
      </c>
      <c r="D25" s="187">
        <v>1850</v>
      </c>
      <c r="E25" s="187">
        <v>1950</v>
      </c>
      <c r="F25" s="188">
        <v>2500</v>
      </c>
      <c r="G25" s="187">
        <v>2770</v>
      </c>
      <c r="H25" s="187">
        <v>2970</v>
      </c>
      <c r="I25" s="187">
        <f t="shared" si="0"/>
        <v>1560</v>
      </c>
    </row>
    <row r="26" spans="1:16" ht="14.4">
      <c r="A26" s="186">
        <v>25</v>
      </c>
      <c r="B26" s="187">
        <v>1700</v>
      </c>
      <c r="C26" s="187">
        <v>1800</v>
      </c>
      <c r="D26" s="187">
        <v>1900</v>
      </c>
      <c r="E26" s="187">
        <v>2000</v>
      </c>
      <c r="F26" s="188">
        <v>2600</v>
      </c>
      <c r="G26" s="187">
        <v>2820</v>
      </c>
      <c r="H26" s="187">
        <v>3020</v>
      </c>
      <c r="I26" s="187">
        <f t="shared" si="0"/>
        <v>1625</v>
      </c>
    </row>
    <row r="27" spans="1:16" ht="14.4">
      <c r="A27" s="186">
        <v>26</v>
      </c>
      <c r="B27" s="187">
        <v>1740</v>
      </c>
      <c r="C27" s="187">
        <v>1840</v>
      </c>
      <c r="D27" s="187">
        <v>1950</v>
      </c>
      <c r="E27" s="187">
        <v>2050</v>
      </c>
      <c r="F27" s="188">
        <v>2680</v>
      </c>
      <c r="G27" s="187">
        <v>2860</v>
      </c>
      <c r="H27" s="187">
        <v>3060</v>
      </c>
      <c r="I27" s="187">
        <f t="shared" si="0"/>
        <v>1690</v>
      </c>
    </row>
    <row r="28" spans="1:16" ht="14.4">
      <c r="A28" s="186">
        <v>27</v>
      </c>
      <c r="B28" s="187">
        <v>1780</v>
      </c>
      <c r="C28" s="187">
        <v>1880</v>
      </c>
      <c r="D28" s="187">
        <v>2000</v>
      </c>
      <c r="E28" s="187">
        <v>2100</v>
      </c>
      <c r="F28" s="188">
        <v>2780</v>
      </c>
      <c r="G28" s="187">
        <v>2900</v>
      </c>
      <c r="H28" s="187">
        <v>3100</v>
      </c>
      <c r="I28" s="187">
        <f t="shared" si="0"/>
        <v>1755</v>
      </c>
    </row>
    <row r="29" spans="1:16" ht="14.4">
      <c r="A29" s="186">
        <v>28</v>
      </c>
      <c r="B29" s="187">
        <v>1810</v>
      </c>
      <c r="C29" s="187">
        <v>1920</v>
      </c>
      <c r="D29" s="187">
        <v>2040</v>
      </c>
      <c r="E29" s="187">
        <v>2140</v>
      </c>
      <c r="F29" s="188">
        <v>2860</v>
      </c>
      <c r="G29" s="187">
        <v>2930</v>
      </c>
      <c r="H29" s="187">
        <v>3130</v>
      </c>
      <c r="I29" s="187">
        <v>1755</v>
      </c>
    </row>
    <row r="30" spans="1:16" ht="14.4">
      <c r="A30" s="186">
        <v>29</v>
      </c>
      <c r="B30" s="187">
        <v>1840</v>
      </c>
      <c r="C30" s="187">
        <v>1950</v>
      </c>
      <c r="D30" s="187">
        <v>2070</v>
      </c>
      <c r="E30" s="187">
        <v>2170</v>
      </c>
      <c r="F30" s="188">
        <v>2940</v>
      </c>
      <c r="G30" s="187">
        <v>2960</v>
      </c>
      <c r="H30" s="187">
        <v>3160</v>
      </c>
      <c r="I30" s="187">
        <v>1800</v>
      </c>
    </row>
    <row r="31" spans="1:16" ht="14.4">
      <c r="A31" s="186">
        <v>30</v>
      </c>
      <c r="B31" s="187">
        <v>1870</v>
      </c>
      <c r="C31" s="187">
        <v>1980</v>
      </c>
      <c r="D31" s="187">
        <v>2100</v>
      </c>
      <c r="E31" s="187">
        <v>2200</v>
      </c>
      <c r="F31" s="188">
        <v>3020</v>
      </c>
      <c r="G31" s="187">
        <v>2990</v>
      </c>
      <c r="H31" s="187">
        <v>3190</v>
      </c>
      <c r="I31" s="187">
        <v>1800</v>
      </c>
    </row>
    <row r="32" spans="1:16" ht="14.4">
      <c r="A32" s="186">
        <v>31</v>
      </c>
      <c r="B32" s="187">
        <v>1900</v>
      </c>
      <c r="C32" s="187">
        <v>2000</v>
      </c>
      <c r="D32" s="187">
        <v>2120</v>
      </c>
      <c r="E32" s="187">
        <v>2220</v>
      </c>
      <c r="F32" s="188">
        <v>3100</v>
      </c>
      <c r="G32" s="187">
        <v>3020</v>
      </c>
      <c r="H32" s="187">
        <v>3220</v>
      </c>
      <c r="I32" s="187">
        <v>1800</v>
      </c>
    </row>
    <row r="33" spans="1:1024" ht="14.4">
      <c r="A33" s="186">
        <v>32</v>
      </c>
      <c r="B33" s="187">
        <v>1900</v>
      </c>
      <c r="C33" s="187">
        <v>2000</v>
      </c>
      <c r="D33" s="187">
        <v>2120</v>
      </c>
      <c r="E33" s="187">
        <v>2220</v>
      </c>
      <c r="F33" s="188">
        <v>3180</v>
      </c>
      <c r="G33" s="187">
        <v>3020</v>
      </c>
      <c r="H33" s="187">
        <v>3220</v>
      </c>
      <c r="I33" s="187">
        <v>1800</v>
      </c>
    </row>
    <row r="34" spans="1:1024" ht="14.4">
      <c r="A34" s="186">
        <v>33</v>
      </c>
      <c r="B34" s="187">
        <v>1900</v>
      </c>
      <c r="C34" s="187">
        <v>2000</v>
      </c>
      <c r="D34" s="187">
        <v>2120</v>
      </c>
      <c r="E34" s="187">
        <v>2220</v>
      </c>
      <c r="F34" s="188">
        <v>3240</v>
      </c>
      <c r="G34" s="187">
        <v>3020</v>
      </c>
      <c r="H34" s="187">
        <v>3220</v>
      </c>
      <c r="I34" s="187">
        <v>1800</v>
      </c>
    </row>
    <row r="35" spans="1:1024" ht="13.2"/>
    <row r="36" spans="1:1024" ht="13.2">
      <c r="A36" s="6" t="s">
        <v>1116</v>
      </c>
      <c r="B36" s="6" t="s">
        <v>1117</v>
      </c>
      <c r="C36" s="6" t="s">
        <v>1118</v>
      </c>
      <c r="D36" s="6" t="s">
        <v>1118</v>
      </c>
      <c r="E36" s="6" t="s">
        <v>1119</v>
      </c>
      <c r="F36" s="6" t="s">
        <v>1118</v>
      </c>
      <c r="G36" s="6"/>
      <c r="H36" s="6"/>
      <c r="I36" s="6">
        <v>1700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</row>
    <row r="37" spans="1:1024" ht="13.2"/>
    <row r="38" spans="1:1024" ht="13.2"/>
    <row r="39" spans="1:1024" ht="13.2"/>
    <row r="40" spans="1:1024" ht="13.2"/>
    <row r="41" spans="1:1024" ht="28.8">
      <c r="A41" s="192" t="s">
        <v>1120</v>
      </c>
      <c r="B41" s="183" t="s">
        <v>1121</v>
      </c>
      <c r="C41" s="183" t="s">
        <v>1122</v>
      </c>
      <c r="D41" s="183" t="s">
        <v>1123</v>
      </c>
      <c r="E41" s="183" t="s">
        <v>1124</v>
      </c>
      <c r="F41" s="183" t="s">
        <v>1125</v>
      </c>
      <c r="G41" s="185" t="s">
        <v>1126</v>
      </c>
      <c r="K41" s="189"/>
    </row>
    <row r="42" spans="1:1024" ht="14.4">
      <c r="A42" s="185">
        <v>1</v>
      </c>
      <c r="B42" s="193">
        <v>160</v>
      </c>
      <c r="C42" s="193">
        <v>170</v>
      </c>
      <c r="D42" s="193">
        <v>180</v>
      </c>
      <c r="E42" s="193">
        <v>185</v>
      </c>
      <c r="F42" s="193">
        <v>130</v>
      </c>
      <c r="G42" s="193">
        <v>165</v>
      </c>
      <c r="K42" s="189"/>
    </row>
    <row r="43" spans="1:1024" ht="14.4">
      <c r="A43" s="185">
        <v>2</v>
      </c>
      <c r="B43" s="193">
        <v>280</v>
      </c>
      <c r="C43" s="193">
        <v>300</v>
      </c>
      <c r="D43" s="193">
        <v>310</v>
      </c>
      <c r="E43" s="193">
        <v>330</v>
      </c>
      <c r="F43" s="193">
        <v>190</v>
      </c>
      <c r="G43" s="193">
        <v>300</v>
      </c>
      <c r="K43" s="189"/>
    </row>
    <row r="44" spans="1:1024" ht="14.4">
      <c r="A44" s="185">
        <v>3</v>
      </c>
      <c r="B44" s="193">
        <v>400</v>
      </c>
      <c r="C44" s="193">
        <v>330</v>
      </c>
      <c r="D44" s="193">
        <v>460</v>
      </c>
      <c r="E44" s="193">
        <v>480</v>
      </c>
      <c r="F44" s="193">
        <v>330</v>
      </c>
      <c r="G44" s="193">
        <v>430</v>
      </c>
      <c r="K44" s="189"/>
    </row>
    <row r="45" spans="1:1024" ht="14.4">
      <c r="A45" s="185">
        <v>4</v>
      </c>
      <c r="B45" s="193">
        <v>530</v>
      </c>
      <c r="C45" s="193">
        <v>570</v>
      </c>
      <c r="D45" s="193">
        <v>590</v>
      </c>
      <c r="E45" s="193">
        <v>630</v>
      </c>
      <c r="F45" s="193">
        <v>350</v>
      </c>
      <c r="G45" s="193">
        <v>570</v>
      </c>
      <c r="K45" s="189"/>
    </row>
    <row r="46" spans="1:1024" ht="14.4">
      <c r="A46" s="185">
        <v>5</v>
      </c>
      <c r="B46" s="193">
        <v>650</v>
      </c>
      <c r="C46" s="193">
        <v>680</v>
      </c>
      <c r="D46" s="193">
        <v>720</v>
      </c>
      <c r="E46" s="193">
        <v>760</v>
      </c>
      <c r="F46" s="193">
        <v>530</v>
      </c>
      <c r="G46" s="193">
        <v>690</v>
      </c>
      <c r="K46" s="189"/>
    </row>
    <row r="47" spans="1:1024" ht="14.4">
      <c r="A47" s="185">
        <v>6</v>
      </c>
      <c r="B47" s="193">
        <v>780</v>
      </c>
      <c r="C47" s="193">
        <v>800</v>
      </c>
      <c r="D47" s="193">
        <v>840</v>
      </c>
      <c r="E47" s="193">
        <v>890</v>
      </c>
      <c r="F47" s="193">
        <v>650</v>
      </c>
      <c r="G47" s="193">
        <v>820</v>
      </c>
    </row>
    <row r="48" spans="1:1024" ht="14.4">
      <c r="A48" s="185">
        <v>7</v>
      </c>
      <c r="B48" s="193">
        <v>900</v>
      </c>
      <c r="C48" s="193">
        <v>950</v>
      </c>
      <c r="D48" s="193">
        <v>970</v>
      </c>
      <c r="E48" s="193">
        <v>1050</v>
      </c>
      <c r="F48" s="193">
        <v>800</v>
      </c>
      <c r="G48" s="193">
        <v>950</v>
      </c>
    </row>
    <row r="49" spans="1:7" ht="14.4">
      <c r="A49" s="185">
        <v>8</v>
      </c>
      <c r="B49" s="193">
        <v>1050</v>
      </c>
      <c r="C49" s="193">
        <v>1080</v>
      </c>
      <c r="D49" s="193">
        <v>1090</v>
      </c>
      <c r="E49" s="193">
        <v>1130</v>
      </c>
      <c r="F49" s="193">
        <v>900</v>
      </c>
      <c r="G49" s="193">
        <v>1050</v>
      </c>
    </row>
    <row r="50" spans="1:7" ht="14.4">
      <c r="A50" s="185">
        <v>9</v>
      </c>
      <c r="B50" s="194"/>
      <c r="C50" s="194"/>
      <c r="D50" s="194"/>
      <c r="E50" s="194"/>
      <c r="F50" s="194"/>
      <c r="G50" s="194"/>
    </row>
    <row r="51" spans="1:7" ht="14.4">
      <c r="A51" s="185">
        <v>10</v>
      </c>
      <c r="B51" s="194"/>
      <c r="C51" s="194"/>
      <c r="D51" s="194"/>
      <c r="E51" s="194"/>
      <c r="F51" s="194"/>
      <c r="G51" s="194"/>
    </row>
    <row r="52" spans="1:7" ht="14.4">
      <c r="A52" s="185">
        <v>11</v>
      </c>
      <c r="B52" s="194"/>
      <c r="C52" s="192"/>
      <c r="D52" s="192"/>
      <c r="E52" s="192"/>
      <c r="F52" s="192"/>
      <c r="G52" s="192"/>
    </row>
    <row r="53" spans="1:7" ht="14.4">
      <c r="A53" s="185">
        <v>12</v>
      </c>
      <c r="B53" s="194"/>
      <c r="C53" s="192"/>
      <c r="D53" s="192"/>
      <c r="E53" s="192"/>
      <c r="F53" s="192"/>
      <c r="G53" s="192"/>
    </row>
    <row r="54" spans="1:7" ht="14.4">
      <c r="A54" s="185">
        <v>13</v>
      </c>
      <c r="B54" s="194"/>
      <c r="C54" s="192"/>
      <c r="D54" s="192"/>
      <c r="E54" s="192"/>
      <c r="F54" s="192"/>
      <c r="G54" s="192"/>
    </row>
    <row r="55" spans="1:7" ht="14.4">
      <c r="A55" s="185">
        <v>14</v>
      </c>
      <c r="B55" s="194"/>
      <c r="C55" s="192"/>
      <c r="D55" s="192"/>
      <c r="E55" s="192"/>
      <c r="F55" s="192"/>
      <c r="G55" s="192"/>
    </row>
    <row r="56" spans="1:7" ht="14.4">
      <c r="A56" s="185">
        <v>15</v>
      </c>
      <c r="B56" s="194"/>
      <c r="C56" s="192"/>
      <c r="D56" s="192"/>
      <c r="E56" s="192"/>
      <c r="F56" s="192"/>
      <c r="G56" s="192"/>
    </row>
    <row r="57" spans="1:7" ht="14.4">
      <c r="A57" s="185">
        <v>16</v>
      </c>
      <c r="B57" s="194"/>
      <c r="C57" s="192"/>
      <c r="D57" s="192"/>
      <c r="E57" s="192"/>
      <c r="F57" s="192"/>
      <c r="G57" s="192"/>
    </row>
    <row r="58" spans="1:7" ht="14.4">
      <c r="A58" s="185">
        <v>17</v>
      </c>
      <c r="B58" s="194"/>
      <c r="C58" s="192"/>
      <c r="D58" s="192"/>
      <c r="E58" s="192"/>
      <c r="F58" s="192"/>
      <c r="G58" s="192"/>
    </row>
    <row r="59" spans="1:7" ht="14.4">
      <c r="A59" s="185">
        <v>18</v>
      </c>
      <c r="B59" s="194"/>
      <c r="C59" s="192"/>
      <c r="D59" s="192"/>
      <c r="E59" s="192"/>
      <c r="F59" s="192"/>
      <c r="G59" s="192"/>
    </row>
    <row r="60" spans="1:7" ht="14.4">
      <c r="A60" s="185">
        <v>19</v>
      </c>
      <c r="B60" s="194"/>
      <c r="C60" s="192"/>
      <c r="D60" s="192"/>
      <c r="E60" s="192"/>
      <c r="F60" s="192"/>
      <c r="G60" s="192"/>
    </row>
    <row r="61" spans="1:7" ht="14.4">
      <c r="A61" s="185">
        <v>20</v>
      </c>
      <c r="B61" s="194"/>
      <c r="C61" s="192"/>
      <c r="D61" s="192"/>
      <c r="E61" s="192"/>
      <c r="F61" s="192"/>
      <c r="G61" s="192"/>
    </row>
    <row r="62" spans="1:7" ht="14.4">
      <c r="A62" s="185">
        <v>21</v>
      </c>
      <c r="B62" s="194"/>
      <c r="C62" s="192"/>
      <c r="D62" s="192"/>
      <c r="E62" s="192"/>
      <c r="F62" s="192"/>
      <c r="G62" s="192"/>
    </row>
    <row r="63" spans="1:7" ht="28.8">
      <c r="A63" s="183" t="s">
        <v>1127</v>
      </c>
      <c r="B63" s="185" t="s">
        <v>1128</v>
      </c>
      <c r="C63" s="185" t="s">
        <v>1129</v>
      </c>
      <c r="D63" s="185" t="s">
        <v>1119</v>
      </c>
      <c r="E63" s="185" t="s">
        <v>1130</v>
      </c>
      <c r="F63" s="185" t="s">
        <v>1131</v>
      </c>
      <c r="G63" s="185" t="s">
        <v>1132</v>
      </c>
    </row>
  </sheetData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FFC000"/>
    <pageSetUpPr fitToPage="1"/>
  </sheetPr>
  <dimension ref="A1:E8"/>
  <sheetViews>
    <sheetView zoomScale="74" zoomScaleNormal="74" workbookViewId="0">
      <selection activeCell="N33" sqref="N33"/>
    </sheetView>
  </sheetViews>
  <sheetFormatPr defaultColWidth="11.5546875" defaultRowHeight="12.75" customHeight="1"/>
  <sheetData>
    <row r="1" spans="1:5">
      <c r="A1" s="281" t="s">
        <v>1133</v>
      </c>
      <c r="B1" s="281"/>
      <c r="C1" s="281"/>
      <c r="D1" s="281"/>
      <c r="E1" s="281"/>
    </row>
    <row r="2" spans="1:5">
      <c r="A2" s="117" t="s">
        <v>1134</v>
      </c>
      <c r="B2" s="196">
        <f>5.87*SQRT(B4*B5)*B3/10/5</f>
        <v>36.857019030409937</v>
      </c>
      <c r="C2" s="117" t="s">
        <v>48</v>
      </c>
      <c r="D2" s="270" t="s">
        <v>1135</v>
      </c>
      <c r="E2" s="270"/>
    </row>
    <row r="3" spans="1:5">
      <c r="A3" s="117" t="s">
        <v>1136</v>
      </c>
      <c r="B3" s="146">
        <v>3.9</v>
      </c>
      <c r="C3" s="117" t="s">
        <v>1137</v>
      </c>
      <c r="D3" s="117"/>
      <c r="E3" s="117"/>
    </row>
    <row r="4" spans="1:5">
      <c r="A4" s="117" t="s">
        <v>1138</v>
      </c>
      <c r="B4" s="195">
        <f>(2*B8)+(2*C8)</f>
        <v>1800</v>
      </c>
      <c r="C4" s="117" t="s">
        <v>1139</v>
      </c>
      <c r="D4" s="117"/>
      <c r="E4" s="117"/>
    </row>
    <row r="5" spans="1:5">
      <c r="A5" s="117" t="s">
        <v>1140</v>
      </c>
      <c r="B5" s="146">
        <v>3.6</v>
      </c>
      <c r="C5" s="117" t="s">
        <v>1139</v>
      </c>
      <c r="D5" s="117"/>
      <c r="E5" s="117"/>
    </row>
    <row r="6" spans="1:5">
      <c r="A6" s="117"/>
      <c r="B6" s="117"/>
      <c r="C6" s="117"/>
      <c r="D6" s="117"/>
      <c r="E6" s="117"/>
    </row>
    <row r="7" spans="1:5">
      <c r="A7" s="117"/>
      <c r="B7" s="117" t="s">
        <v>1141</v>
      </c>
      <c r="C7" s="117" t="s">
        <v>1142</v>
      </c>
      <c r="D7" s="117" t="s">
        <v>1143</v>
      </c>
      <c r="E7" s="117"/>
    </row>
    <row r="8" spans="1:5">
      <c r="A8" s="117" t="s">
        <v>1144</v>
      </c>
      <c r="B8" s="146">
        <v>450</v>
      </c>
      <c r="C8" s="146">
        <v>450</v>
      </c>
      <c r="D8" s="146">
        <v>300</v>
      </c>
      <c r="E8" s="117"/>
    </row>
  </sheetData>
  <mergeCells count="2">
    <mergeCell ref="A1:E1"/>
    <mergeCell ref="D2:E2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FFC000"/>
    <pageSetUpPr fitToPage="1"/>
  </sheetPr>
  <dimension ref="A1:AMJ91"/>
  <sheetViews>
    <sheetView zoomScale="74" zoomScaleNormal="74" workbookViewId="0">
      <selection activeCell="A38" sqref="A38:A45"/>
    </sheetView>
  </sheetViews>
  <sheetFormatPr defaultColWidth="11.5546875" defaultRowHeight="12.9" customHeight="1"/>
  <cols>
    <col min="1" max="14" width="11.5546875" style="197"/>
    <col min="15" max="18" width="14.44140625" style="197" customWidth="1"/>
    <col min="19" max="19" width="13.44140625" style="197" customWidth="1"/>
    <col min="20" max="20" width="12.33203125" style="197" customWidth="1"/>
    <col min="21" max="22" width="11.5546875" style="197"/>
    <col min="23" max="23" width="18.5546875" style="197" customWidth="1"/>
    <col min="24" max="24" width="18.33203125" style="197" customWidth="1"/>
    <col min="25" max="25" width="19" style="197" customWidth="1"/>
    <col min="26" max="26" width="20" style="197" customWidth="1"/>
    <col min="27" max="27" width="18.33203125" style="197" customWidth="1"/>
    <col min="28" max="28" width="16.44140625" style="197" customWidth="1"/>
    <col min="29" max="31" width="11.5546875" style="197"/>
    <col min="32" max="32" width="23.33203125" style="197" customWidth="1"/>
    <col min="33" max="34" width="22.6640625" style="197" customWidth="1"/>
    <col min="35" max="35" width="23.109375" style="197" customWidth="1"/>
    <col min="36" max="36" width="17.33203125" style="197" customWidth="1"/>
    <col min="37" max="1024" width="11.5546875" style="197"/>
  </cols>
  <sheetData>
    <row r="1" spans="1:34" ht="12.9" customHeight="1">
      <c r="B1" s="198"/>
      <c r="C1" s="198"/>
      <c r="D1" s="198"/>
      <c r="E1" s="198"/>
      <c r="F1" s="198"/>
      <c r="H1" s="197">
        <v>2</v>
      </c>
      <c r="I1" s="197">
        <v>3</v>
      </c>
      <c r="J1" s="197">
        <v>4</v>
      </c>
      <c r="V1" s="199"/>
      <c r="W1" s="200"/>
      <c r="X1" s="200"/>
      <c r="Y1" s="200"/>
      <c r="Z1" s="200"/>
      <c r="AA1" s="200"/>
      <c r="AB1" s="200"/>
      <c r="AC1" s="201"/>
      <c r="AD1" s="201"/>
      <c r="AE1" s="201"/>
      <c r="AF1" s="201"/>
      <c r="AG1" s="201"/>
      <c r="AH1" s="201"/>
    </row>
    <row r="2" spans="1:34" ht="27.6" customHeight="1">
      <c r="A2" s="283">
        <v>1</v>
      </c>
      <c r="B2" s="203" t="str">
        <f>Kalk!B3</f>
        <v xml:space="preserve"> </v>
      </c>
      <c r="C2" s="203" t="s">
        <v>1145</v>
      </c>
      <c r="D2" s="203" t="s">
        <v>1146</v>
      </c>
      <c r="E2" s="203" t="s">
        <v>1147</v>
      </c>
      <c r="F2" s="203" t="s">
        <v>83</v>
      </c>
      <c r="H2" s="284" t="s">
        <v>1148</v>
      </c>
      <c r="I2" s="284"/>
      <c r="J2" s="284"/>
      <c r="S2" s="204" t="s">
        <v>1149</v>
      </c>
      <c r="T2" s="204" t="s">
        <v>1150</v>
      </c>
      <c r="V2" s="199" t="s">
        <v>97</v>
      </c>
      <c r="W2" s="200" t="s">
        <v>1151</v>
      </c>
      <c r="X2" s="200" t="s">
        <v>1151</v>
      </c>
      <c r="Y2" s="200" t="s">
        <v>1151</v>
      </c>
      <c r="Z2" s="200" t="s">
        <v>1152</v>
      </c>
      <c r="AA2" s="200" t="s">
        <v>1152</v>
      </c>
      <c r="AB2" s="200" t="s">
        <v>1152</v>
      </c>
      <c r="AC2" s="201" t="s">
        <v>103</v>
      </c>
      <c r="AD2" s="201" t="s">
        <v>103</v>
      </c>
      <c r="AE2" s="201" t="s">
        <v>103</v>
      </c>
      <c r="AF2" s="201" t="s">
        <v>1153</v>
      </c>
      <c r="AG2" s="201" t="s">
        <v>1153</v>
      </c>
      <c r="AH2" s="201" t="s">
        <v>1153</v>
      </c>
    </row>
    <row r="3" spans="1:34" ht="17.399999999999999">
      <c r="A3" s="283"/>
      <c r="B3" s="205" t="str">
        <f>Kalk!K4</f>
        <v>BC</v>
      </c>
      <c r="C3" s="206" cm="1">
        <f t="array" aca="1" ref="C3" ca="1">IF(OR(B3="E",B3="B",B3="C"),INDIRECT("'"&amp;B4&amp;"'!J3"),IF(OR(B3="EB",B3="BC"),INDIRECT("'"&amp;B4&amp;"'!J5"),""))</f>
        <v>40</v>
      </c>
      <c r="D3" s="207" cm="1">
        <f t="array" aca="1" ref="D3" ca="1">IF(OR(B3="E",B3="B",B3="C"),INDIRECT("'"&amp;B4&amp;"'!K3"),IF(OR(B3="EB",B3="BC"),INDIRECT("'"&amp;B4&amp;"'!K5"),""))</f>
        <v>40</v>
      </c>
      <c r="E3" s="205">
        <f>Kalk!Q4</f>
        <v>2100</v>
      </c>
      <c r="F3" s="207">
        <f>IF(OR(B4="F0110",B4="F0409",B4="F0410",B4="F0422",B4="F0427",B4="F0452"),C5,      IF(OR(B4="F0200",B4="F0201",B4="F0202",B4="F0203",B4="F0200-F0203",B4="F0201-F0203",B4="F0501"),D5,      IF(OR(B4="F0711",B4="F0713"),E5,       IF(B4="F0451",F5,0))))</f>
        <v>130</v>
      </c>
      <c r="H3" s="208">
        <f>IF(AND(Kalk!C4="",Kalk!E4="",Kalk!G4=""),0,    M3)</f>
        <v>0</v>
      </c>
      <c r="I3" s="208">
        <f>IF(AND(Kalk!C4="",Kalk!E4="",Kalk!G4=""),0,    N3)</f>
        <v>0</v>
      </c>
      <c r="J3" s="209">
        <f>Kalk!Q4</f>
        <v>2100</v>
      </c>
      <c r="K3" s="210">
        <f ca="1">IF(AND(M3=Q5,N3=R5), M5*N5,   IF(AND(M3=Q6,N3=R6), M6*N6, 0))</f>
        <v>1</v>
      </c>
      <c r="L3" s="211">
        <f>IF(AND(Kalk!C4="",Kalk!E4="",Kalk!G4=""),0,
   IF(AND(H3=Q5,I3=R5,J5&gt;=J6),J5,J6))</f>
        <v>0</v>
      </c>
      <c r="M3" s="211">
        <f ca="1">IF(J5&gt;J6,Q5,
   IF(AND(J5=J6,Q5*R5&lt;=Q6*R6),Q5,Q6))</f>
        <v>1400</v>
      </c>
      <c r="N3" s="212">
        <f ca="1">IF(AND(M3=Q5,J5&gt;=J6),R5,   IF(OR(P5=0,P6=0), 0,  R6))</f>
        <v>1200</v>
      </c>
      <c r="Q3" s="213">
        <f>Kalk!S6</f>
        <v>1400</v>
      </c>
      <c r="R3" s="213">
        <f>Kalk!T6</f>
        <v>1200</v>
      </c>
      <c r="S3" s="214">
        <f>Kalk!S4</f>
        <v>1200</v>
      </c>
      <c r="T3" s="214">
        <f>Kalk!T4</f>
        <v>1000</v>
      </c>
      <c r="V3" s="199" t="s">
        <v>1154</v>
      </c>
      <c r="W3" s="215">
        <v>2100</v>
      </c>
      <c r="X3" s="215">
        <v>1800</v>
      </c>
      <c r="Y3" s="215">
        <v>1250</v>
      </c>
      <c r="Z3" s="215">
        <v>2100</v>
      </c>
      <c r="AA3" s="201">
        <v>1800</v>
      </c>
      <c r="AB3" s="215">
        <v>1250</v>
      </c>
      <c r="AC3" s="215">
        <v>2100</v>
      </c>
      <c r="AD3" s="201">
        <v>1800</v>
      </c>
      <c r="AE3" s="201">
        <v>1250</v>
      </c>
      <c r="AF3" s="201">
        <v>2100</v>
      </c>
      <c r="AG3" s="201">
        <v>1800</v>
      </c>
      <c r="AH3" s="201">
        <v>1250</v>
      </c>
    </row>
    <row r="4" spans="1:34" ht="15.6">
      <c r="A4" s="283"/>
      <c r="B4" s="205" t="str">
        <f>Kalk!B4</f>
        <v>F0201</v>
      </c>
      <c r="C4" s="214" t="s">
        <v>1155</v>
      </c>
      <c r="D4" s="214" t="s">
        <v>1156</v>
      </c>
      <c r="E4" s="214" t="s">
        <v>1157</v>
      </c>
      <c r="F4" s="214" t="s">
        <v>1158</v>
      </c>
      <c r="H4" s="282" t="s">
        <v>1159</v>
      </c>
      <c r="I4" s="282"/>
      <c r="J4" s="203" t="s">
        <v>83</v>
      </c>
      <c r="K4" s="282" t="s">
        <v>46</v>
      </c>
      <c r="L4" s="282"/>
      <c r="M4" s="285" t="s">
        <v>1160</v>
      </c>
      <c r="N4" s="285"/>
      <c r="O4" s="282" t="s">
        <v>1161</v>
      </c>
      <c r="P4" s="282"/>
      <c r="Q4" s="282" t="s">
        <v>1162</v>
      </c>
      <c r="R4" s="282"/>
      <c r="S4" s="214">
        <f>Kalk!S5</f>
        <v>100</v>
      </c>
      <c r="T4" s="214">
        <f>Kalk!T5</f>
        <v>100</v>
      </c>
      <c r="V4" s="199" t="s">
        <v>76</v>
      </c>
      <c r="W4" s="215">
        <v>500</v>
      </c>
      <c r="X4" s="201">
        <v>460</v>
      </c>
      <c r="Y4" s="215">
        <v>270</v>
      </c>
      <c r="Z4" s="215">
        <v>1000</v>
      </c>
      <c r="AA4" s="201">
        <v>920</v>
      </c>
      <c r="AB4" s="215">
        <v>550</v>
      </c>
      <c r="AC4" s="215">
        <v>340</v>
      </c>
      <c r="AD4" s="201">
        <v>310</v>
      </c>
      <c r="AE4" s="201">
        <v>180</v>
      </c>
      <c r="AF4" s="201">
        <v>250</v>
      </c>
      <c r="AG4" s="201">
        <v>230</v>
      </c>
      <c r="AH4" s="201">
        <v>130</v>
      </c>
    </row>
    <row r="5" spans="1:34" ht="15.6">
      <c r="A5" s="283"/>
      <c r="B5" s="203" t="s">
        <v>1163</v>
      </c>
      <c r="C5" s="214">
        <f>IF(SUM(C6:C7)=4,VLOOKUP(Kalk!K4,Pakowanie!$V$2:$AH$8,5,0),   IF(SUM(C6:C7)=6,VLOOKUP(Kalk!K4,Pakowanie!$V$2:$AH$8,6,0),    IF(SUM(C6:C7)=8,VLOOKUP(Kalk!K4,Pakowanie!$V$2:$AH$8,7,0),0)))</f>
        <v>0</v>
      </c>
      <c r="D5" s="214">
        <f>IF(SUM(D6:D7)=14,W9,    IF(SUM(D6:D7)=16,X9,       IF(SUM(D6:D7)=18,Y9,     IF(SUM(D6:D7)=4,VLOOKUP(Kalk!K4,Pakowanie!$V$2:$AH$8,2,0),   IF(SUM(D6:D7)=6,VLOOKUP(Kalk!K4,Pakowanie!$V$2:$AH$8,3,0),    IF(SUM(D6:D7)=8,VLOOKUP(Kalk!K4,Pakowanie!$V$2:$AH$8,4,0),0))))))</f>
        <v>130</v>
      </c>
      <c r="E5" s="214">
        <f>IF(SUM(E6:E7)=4,VLOOKUP(Kalk!K4,Pakowanie!$V$2:$AH$8,8,0),   IF(SUM(E6:E7)=6,VLOOKUP(Kalk!K4,Pakowanie!$V$2:$AH$8,9,0),    IF(SUM(E6:E7)=8,VLOOKUP(Kalk!K4,Pakowanie!$V$2:$AH$8,10,0),0)))</f>
        <v>0</v>
      </c>
      <c r="F5" s="214">
        <f>IF(SUM(F6:F7)=4,VLOOKUP(Kalk!K4,Pakowanie!$V$2:$AH$8,11,0),   IF(SUM(F6:F7)=6,VLOOKUP(Kalk!K4,Pakowanie!$V$2:$AH$8,12,0),    IF(SUM(F6:F7)=8,VLOOKUP(Kalk!K4,Pakowanie!$V$2:$AH$8,13,0),0)))</f>
        <v>0</v>
      </c>
      <c r="H5" s="214">
        <f ca="1">PRODUCT(C3,K5)</f>
        <v>1400</v>
      </c>
      <c r="I5" s="214">
        <f ca="1">PRODUCT(D3,L5)</f>
        <v>1200</v>
      </c>
      <c r="J5" s="213">
        <f ca="1">PRODUCT(K5:L5,F3)</f>
        <v>136500</v>
      </c>
      <c r="K5" s="214">
        <f ca="1">IF((S5/C3)&lt;=1,0,ROUNDDOWN(S5/C3,0))</f>
        <v>35</v>
      </c>
      <c r="L5" s="214">
        <f ca="1">IF((T5/D3)&lt;=1,0,ROUNDDOWN(T5/D3,0))</f>
        <v>30</v>
      </c>
      <c r="M5" s="214">
        <v>1</v>
      </c>
      <c r="N5" s="214">
        <v>1</v>
      </c>
      <c r="O5" s="214">
        <f>IF(M5=1,$S$3,  IF(M5=2,$S$3*2,  IF(M5=3,$S$3*3,   0)))</f>
        <v>1200</v>
      </c>
      <c r="P5" s="214">
        <f>IF(N5=1,$T$3,  IF(N5=2,$T$3*2,  IF(N5=3,$T$3*3,  IF(N5=4,$T$3*4,   0))))</f>
        <v>1000</v>
      </c>
      <c r="Q5" s="216">
        <f ca="1">IF(H5&gt;=O5,H5,O5)</f>
        <v>1400</v>
      </c>
      <c r="R5" s="216">
        <f ca="1">IF(I5&gt;=P5,I5,P5)</f>
        <v>1200</v>
      </c>
      <c r="S5" s="214">
        <f>S3+S4*2</f>
        <v>1400</v>
      </c>
      <c r="T5" s="214">
        <f>T3+T4*2</f>
        <v>1200</v>
      </c>
      <c r="U5" s="198"/>
      <c r="V5" s="199" t="s">
        <v>77</v>
      </c>
      <c r="W5" s="215">
        <v>300</v>
      </c>
      <c r="X5" s="215">
        <v>260</v>
      </c>
      <c r="Y5" s="215">
        <v>180</v>
      </c>
      <c r="Z5" s="215">
        <v>700</v>
      </c>
      <c r="AA5" s="201">
        <v>600</v>
      </c>
      <c r="AB5" s="215">
        <v>380</v>
      </c>
      <c r="AC5" s="215">
        <v>230</v>
      </c>
      <c r="AD5" s="201">
        <v>200</v>
      </c>
      <c r="AE5" s="201">
        <v>130</v>
      </c>
      <c r="AF5" s="201">
        <v>170</v>
      </c>
      <c r="AG5" s="201">
        <v>150</v>
      </c>
      <c r="AH5" s="201">
        <v>90</v>
      </c>
    </row>
    <row r="6" spans="1:34" ht="15.6">
      <c r="A6" s="283"/>
      <c r="B6" s="205">
        <f>Kalk!L4</f>
        <v>735</v>
      </c>
      <c r="C6" s="214">
        <f>IF(OR(B4="F0110",B4="F0409",B4="F0410",B4="F0422",B4="F0427",B4="F0452"),1,0)</f>
        <v>0</v>
      </c>
      <c r="D6" s="214">
        <v>11</v>
      </c>
      <c r="E6" s="214">
        <f>IF(OR(B4="F0711",B4="F0713"),1,0)</f>
        <v>0</v>
      </c>
      <c r="F6" s="214">
        <f>IF(B4="F0451",1,0)</f>
        <v>0</v>
      </c>
      <c r="H6" s="214">
        <f ca="1">PRODUCT(D3,K6)</f>
        <v>1400</v>
      </c>
      <c r="I6" s="214">
        <f ca="1">PRODUCT(C3,L6)</f>
        <v>1200</v>
      </c>
      <c r="J6" s="213">
        <f ca="1">PRODUCT(K6:L6,F3)</f>
        <v>136500</v>
      </c>
      <c r="K6" s="214">
        <f ca="1">IF((S5/D3)&lt;=1,0,ROUNDDOWN(S5/D3,0))</f>
        <v>35</v>
      </c>
      <c r="L6" s="214">
        <f ca="1">IF((T5/C3)&lt;=1,0,ROUNDDOWN(T5/C3,0))</f>
        <v>30</v>
      </c>
      <c r="M6" s="214">
        <v>1</v>
      </c>
      <c r="N6" s="214">
        <v>1</v>
      </c>
      <c r="O6" s="214">
        <f>IF(M6=1,$S$3,  IF(M6=2,$S$3*2,  IF(M6=3,$S$3*3,   0)))</f>
        <v>1200</v>
      </c>
      <c r="P6" s="214">
        <f>IF(N6=1,$T$3,  IF(N6=2,$T$3*2,  IF(N6=3,$T$3*3,  IF(N6=4,$T$3*4,   0))))</f>
        <v>1000</v>
      </c>
      <c r="Q6" s="216">
        <f ca="1">IF(H6&gt;=O6,H6,O6)</f>
        <v>1400</v>
      </c>
      <c r="R6" s="216">
        <f ca="1">IF(I6&gt;=P6,I6,P6)</f>
        <v>1200</v>
      </c>
      <c r="S6" s="214">
        <f>S3*2+S4*2</f>
        <v>2600</v>
      </c>
      <c r="T6" s="214">
        <f>T3*2+T4*2</f>
        <v>2200</v>
      </c>
      <c r="U6" s="198"/>
      <c r="V6" s="199" t="s">
        <v>78</v>
      </c>
      <c r="W6" s="215">
        <v>250</v>
      </c>
      <c r="X6" s="215">
        <v>220</v>
      </c>
      <c r="Y6" s="215">
        <v>130</v>
      </c>
      <c r="Z6" s="215">
        <v>500</v>
      </c>
      <c r="AA6" s="201">
        <v>450</v>
      </c>
      <c r="AB6" s="215">
        <v>270</v>
      </c>
      <c r="AC6" s="215">
        <v>170</v>
      </c>
      <c r="AD6" s="201">
        <v>150</v>
      </c>
      <c r="AE6" s="201">
        <v>90</v>
      </c>
      <c r="AF6" s="201">
        <v>120</v>
      </c>
      <c r="AG6" s="201">
        <v>110</v>
      </c>
      <c r="AH6" s="201">
        <v>65</v>
      </c>
    </row>
    <row r="7" spans="1:34" ht="15.6">
      <c r="A7" s="283"/>
      <c r="B7" s="214">
        <f>IF( B6&gt;690,1,0)</f>
        <v>1</v>
      </c>
      <c r="C7" s="214">
        <f>IF(E3=2100,3,IF(E3=1800,5,IF(E3=1250,7,0)))</f>
        <v>3</v>
      </c>
      <c r="D7" s="214">
        <f>IF(E3=2100,3,IF(E3=1800,5,IF(E3=1250,7,0)))</f>
        <v>3</v>
      </c>
      <c r="E7" s="214">
        <f>IF(E3=2100,3,IF(E3=1800,5,IF(E3=1250,7,0)))</f>
        <v>3</v>
      </c>
      <c r="F7" s="214">
        <f>IF(E3=2100,3,IF(E3=1800,5,IF(E3=1250,7,0)))</f>
        <v>3</v>
      </c>
      <c r="H7" s="198"/>
      <c r="I7" s="198"/>
      <c r="J7" s="198"/>
      <c r="S7" s="214">
        <f>S3*3+S4*2</f>
        <v>3800</v>
      </c>
      <c r="T7" s="214">
        <f>T3*3+T4*2</f>
        <v>3200</v>
      </c>
      <c r="V7" s="199" t="s">
        <v>80</v>
      </c>
      <c r="W7" s="215">
        <v>150</v>
      </c>
      <c r="X7" s="215">
        <v>130</v>
      </c>
      <c r="Y7" s="215">
        <v>80</v>
      </c>
      <c r="Z7" s="215">
        <v>300</v>
      </c>
      <c r="AA7" s="201">
        <v>280</v>
      </c>
      <c r="AB7" s="215">
        <v>160</v>
      </c>
      <c r="AC7" s="215">
        <v>100</v>
      </c>
      <c r="AD7" s="201">
        <v>85</v>
      </c>
      <c r="AE7" s="201">
        <v>50</v>
      </c>
      <c r="AF7" s="201">
        <v>70</v>
      </c>
      <c r="AG7" s="201">
        <v>65</v>
      </c>
      <c r="AH7" s="201">
        <v>40</v>
      </c>
    </row>
    <row r="8" spans="1:34" ht="15.6">
      <c r="A8" s="283"/>
      <c r="B8" s="198"/>
      <c r="C8" s="198"/>
      <c r="D8" s="198"/>
      <c r="E8" s="198"/>
      <c r="F8" s="198"/>
      <c r="H8" s="198"/>
      <c r="I8" s="217"/>
      <c r="J8" s="198"/>
      <c r="S8" s="214">
        <f>S3*4+S4*2</f>
        <v>5000</v>
      </c>
      <c r="T8" s="214">
        <f>T3*4+T4*2</f>
        <v>4200</v>
      </c>
      <c r="V8" s="199" t="s">
        <v>79</v>
      </c>
      <c r="W8" s="215">
        <v>210</v>
      </c>
      <c r="X8" s="201">
        <v>190</v>
      </c>
      <c r="Y8" s="215">
        <v>110</v>
      </c>
      <c r="Z8" s="215">
        <v>420</v>
      </c>
      <c r="AA8" s="201">
        <v>400</v>
      </c>
      <c r="AB8" s="215">
        <v>240</v>
      </c>
      <c r="AC8" s="215">
        <v>140</v>
      </c>
      <c r="AD8" s="201">
        <v>120</v>
      </c>
      <c r="AE8" s="201">
        <v>80</v>
      </c>
      <c r="AF8" s="201">
        <v>100</v>
      </c>
      <c r="AG8" s="201">
        <v>85</v>
      </c>
      <c r="AH8" s="201">
        <v>60</v>
      </c>
    </row>
    <row r="9" spans="1:34" ht="15.15" customHeight="1">
      <c r="A9" s="283"/>
      <c r="B9" s="198"/>
      <c r="C9" s="198"/>
      <c r="D9" s="198"/>
      <c r="E9" s="198"/>
      <c r="F9" s="198"/>
      <c r="H9" s="198"/>
      <c r="I9" s="217"/>
      <c r="J9" s="198"/>
      <c r="S9" s="214"/>
      <c r="T9" s="214">
        <f>T3*5+T4*2</f>
        <v>5200</v>
      </c>
      <c r="V9" s="287" t="s">
        <v>1164</v>
      </c>
      <c r="W9" s="289">
        <v>130</v>
      </c>
      <c r="X9" s="290">
        <v>120</v>
      </c>
      <c r="Y9" s="289">
        <v>70</v>
      </c>
      <c r="Z9" s="215"/>
      <c r="AA9" s="201"/>
      <c r="AB9" s="215"/>
      <c r="AC9" s="215"/>
      <c r="AD9" s="201"/>
      <c r="AE9" s="201"/>
      <c r="AF9" s="201"/>
      <c r="AG9" s="201"/>
      <c r="AH9" s="201"/>
    </row>
    <row r="10" spans="1:34" ht="15.6">
      <c r="B10" s="198"/>
      <c r="C10" s="198"/>
      <c r="D10" s="198"/>
      <c r="E10" s="198"/>
      <c r="F10" s="198"/>
      <c r="H10" s="198"/>
      <c r="I10" s="217"/>
      <c r="J10" s="198"/>
      <c r="S10" s="198"/>
      <c r="T10" s="198"/>
      <c r="V10" s="287"/>
      <c r="W10" s="289"/>
      <c r="X10" s="290"/>
      <c r="Y10" s="289"/>
      <c r="Z10" s="215"/>
      <c r="AA10" s="201"/>
      <c r="AB10" s="215"/>
      <c r="AC10" s="215"/>
      <c r="AD10" s="201"/>
      <c r="AE10" s="201"/>
      <c r="AF10" s="201"/>
      <c r="AG10" s="201"/>
      <c r="AH10" s="201"/>
    </row>
    <row r="11" spans="1:34" ht="30.6">
      <c r="A11" s="283">
        <v>2</v>
      </c>
      <c r="B11" s="218" t="str">
        <f>Kalk!B7</f>
        <v xml:space="preserve"> </v>
      </c>
      <c r="C11" s="218" t="s">
        <v>1145</v>
      </c>
      <c r="D11" s="218" t="s">
        <v>1146</v>
      </c>
      <c r="E11" s="218" t="s">
        <v>1147</v>
      </c>
      <c r="F11" s="218" t="s">
        <v>83</v>
      </c>
      <c r="H11" s="284" t="s">
        <v>1148</v>
      </c>
      <c r="I11" s="284"/>
      <c r="J11" s="284"/>
      <c r="S11" s="204" t="s">
        <v>1149</v>
      </c>
      <c r="T11" s="204" t="s">
        <v>1150</v>
      </c>
      <c r="V11" s="199" t="s">
        <v>86</v>
      </c>
      <c r="W11" s="215">
        <v>80</v>
      </c>
      <c r="X11" s="201">
        <v>65</v>
      </c>
      <c r="Y11" s="215">
        <v>45</v>
      </c>
      <c r="Z11" s="215">
        <v>160</v>
      </c>
      <c r="AA11" s="201">
        <v>150</v>
      </c>
      <c r="AB11" s="215">
        <v>90</v>
      </c>
      <c r="AC11" s="215"/>
      <c r="AD11" s="201"/>
      <c r="AE11" s="201"/>
      <c r="AF11" s="201"/>
      <c r="AG11" s="201"/>
      <c r="AH11" s="201"/>
    </row>
    <row r="12" spans="1:34" ht="17.399999999999999">
      <c r="A12" s="283"/>
      <c r="B12" s="205" t="str">
        <f>Kalk!K8</f>
        <v>BC</v>
      </c>
      <c r="C12" s="206" cm="1">
        <f t="array" aca="1" ref="C12" ca="1">IF(OR(B12="E",B12="B",B12="C"),INDIRECT("'"&amp;B13&amp;"'!J15"),IF(OR(B12="EB",B12="BC"),INDIRECT("'"&amp;B13&amp;"'!J17"),""))</f>
        <v>40</v>
      </c>
      <c r="D12" s="207" cm="1">
        <f t="array" aca="1" ref="D12" ca="1">IF(OR(B12="E",B12="B",B12="C"),INDIRECT("'"&amp;B13&amp;"'!K15"),IF(OR(B12="EB",B12="BC"),INDIRECT("'"&amp;B13&amp;"'!K17"),""))</f>
        <v>40</v>
      </c>
      <c r="E12" s="219">
        <f>Kalk!Q8</f>
        <v>2100</v>
      </c>
      <c r="F12" s="207">
        <f>IF(OR(B13="F0110",B13="F0409",B13="F0410",B13="F0422",B13="F0427",B13="F0452"),C14,      IF(OR(B13="F0200",B13="F0201",B13="F0202",B13="F0203",B13="F0200-F0203",B13="F0201-F0203",B13="F0501"),D14,      IF(OR(B13="F0711",B13="F0713"),E14,       IF(B13="F0451",F14,0))))</f>
        <v>150</v>
      </c>
      <c r="H12" s="208">
        <f>IF(AND(Kalk!C8="",Kalk!E8="",Kalk!G8=""),0,  M12)</f>
        <v>0</v>
      </c>
      <c r="I12" s="208">
        <f>IF(AND(Kalk!C8="",Kalk!E8="",Kalk!G8=""),0,  N12)</f>
        <v>0</v>
      </c>
      <c r="J12" s="209">
        <f>Kalk!Q8</f>
        <v>2100</v>
      </c>
      <c r="K12" s="210">
        <f ca="1">IF(AND(M12=Q14,N12=R14), M14*N14,   IF(AND(M12=Q15,N12=R15), M15*N15, 0))</f>
        <v>1</v>
      </c>
      <c r="L12" s="211">
        <f>IF(AND(Kalk!C8="",Kalk!E8="",Kalk!G8=""),0,
   IF(AND(H12=Q14,I12=R14,J14&gt;=J15),J14,J15))</f>
        <v>0</v>
      </c>
      <c r="M12" s="211">
        <f ca="1">IF(J14&gt;J15,Q14,
   IF(AND(J14=J15,Q14*R14&lt;=Q15*R15),Q14,Q15))</f>
        <v>1320</v>
      </c>
      <c r="N12" s="212">
        <f ca="1">IF(AND(M12=Q14,J14&gt;=J15),R14,   IF(OR(P14=0,P15=0), 0,  R15))</f>
        <v>1120</v>
      </c>
      <c r="Q12" s="213">
        <f>Kalk!S10</f>
        <v>1500</v>
      </c>
      <c r="R12" s="213">
        <f>Kalk!T10</f>
        <v>1300</v>
      </c>
      <c r="S12" s="214">
        <f>Kalk!S8</f>
        <v>1200</v>
      </c>
      <c r="T12" s="214">
        <f>Kalk!T8</f>
        <v>1000</v>
      </c>
    </row>
    <row r="13" spans="1:34" ht="13.2">
      <c r="A13" s="283"/>
      <c r="B13" s="205" t="str">
        <f>Kalk!B8</f>
        <v>F0201</v>
      </c>
      <c r="C13" s="214" t="s">
        <v>1155</v>
      </c>
      <c r="D13" s="214" t="s">
        <v>1156</v>
      </c>
      <c r="E13" s="214" t="s">
        <v>1157</v>
      </c>
      <c r="F13" s="214" t="s">
        <v>1158</v>
      </c>
      <c r="H13" s="282" t="s">
        <v>1159</v>
      </c>
      <c r="I13" s="282"/>
      <c r="J13" s="203" t="s">
        <v>83</v>
      </c>
      <c r="K13" s="282" t="s">
        <v>46</v>
      </c>
      <c r="L13" s="282"/>
      <c r="M13" s="285" t="s">
        <v>1160</v>
      </c>
      <c r="N13" s="285"/>
      <c r="O13" s="282" t="s">
        <v>1161</v>
      </c>
      <c r="P13" s="282"/>
      <c r="Q13" s="282" t="s">
        <v>1162</v>
      </c>
      <c r="R13" s="282"/>
      <c r="S13" s="214">
        <f>Kalk!S9</f>
        <v>150</v>
      </c>
      <c r="T13" s="214">
        <f>Kalk!T9</f>
        <v>150</v>
      </c>
    </row>
    <row r="14" spans="1:34" ht="13.2">
      <c r="A14" s="283"/>
      <c r="B14" s="203" t="s">
        <v>1163</v>
      </c>
      <c r="C14" s="214">
        <f>IF(SUM(C15:C16)=4,VLOOKUP(Kalk!K8,Pakowanie!$V$2:$AH$8,5,0),   IF(SUM(C15:C16)=6,VLOOKUP(Kalk!K8,Pakowanie!$V$2:$AH$8,6,0),    IF(SUM(C15:C16)=8,VLOOKUP(Kalk!K8,Pakowanie!$V$2:$AH$8,7,0),0)))</f>
        <v>0</v>
      </c>
      <c r="D14" s="214">
        <f>IF(SUM(D15:D16)=14,W9,    IF(SUM(D15:D16)=16,X9,       IF(SUM(D15:D16)=18,Y9,     IF(SUM(D15:D16)=4,VLOOKUP(Kalk!K8,Pakowanie!$V$2:$AH$8,2,0),   IF(SUM(D15:D16)=6,VLOOKUP(Kalk!K8,Pakowanie!$V$2:$AH$8,3,0),    IF(SUM(D15:D16)=8,VLOOKUP(Kalk!K8,Pakowanie!$V$2:$AH$8,4,0),0))))))</f>
        <v>150</v>
      </c>
      <c r="E14" s="214">
        <f>IF(SUM(E15:E16)=4,VLOOKUP(Kalk!K8,Pakowanie!$V$2:$AH$8,8,0),   IF(SUM(E15:E16)=6,VLOOKUP(Kalk!K8,Pakowanie!$V$2:$AH$8,9,0),    IF(SUM(E15:E16)=8,VLOOKUP(Kalk!K8,Pakowanie!$V$2:$AH$8,10,0),0)))</f>
        <v>0</v>
      </c>
      <c r="F14" s="214">
        <f>IF(SUM(F15:F16)=4,VLOOKUP(Kalk!K8,Pakowanie!$V$2:$AH$8,11,0),   IF(SUM(F15:F16)=6,VLOOKUP(Kalk!K8,Pakowanie!$V$2:$AH$8,12,0),    IF(SUM(F15:F16)=8,VLOOKUP(Kalk!K8,Pakowanie!$V$2:$AH$8,13,0),0)))</f>
        <v>0</v>
      </c>
      <c r="H14" s="214">
        <f ca="1">PRODUCT(C12,K14)</f>
        <v>1320</v>
      </c>
      <c r="I14" s="214">
        <f ca="1">PRODUCT(D12,L14)</f>
        <v>1120</v>
      </c>
      <c r="J14" s="213">
        <f ca="1">PRODUCT(K14:L14,F12)</f>
        <v>138600</v>
      </c>
      <c r="K14" s="214">
        <f ca="1">IF((S14/C12)&lt;=1,0,ROUNDDOWN(S14/C12,0))</f>
        <v>33</v>
      </c>
      <c r="L14" s="214">
        <f ca="1">IF((T14/D12)&lt;=1,0,ROUNDDOWN(T14/D12,0))</f>
        <v>28</v>
      </c>
      <c r="M14" s="214">
        <v>1</v>
      </c>
      <c r="N14" s="214">
        <v>1</v>
      </c>
      <c r="O14" s="214">
        <f>IF(M14=1,$S$12,  IF(M14=2,$S$12*2,  IF(M14=3,$S$12*3,   0)))</f>
        <v>1200</v>
      </c>
      <c r="P14" s="214">
        <f>IF(N14=1,$T$12,  IF(N14=2,$T$12*2,  IF(N14=3,$T$12*3,  IF(N14=4,$T$12*4,   0))))</f>
        <v>1000</v>
      </c>
      <c r="Q14" s="216">
        <f ca="1">IF(H14&gt;=O14,H14,O14)</f>
        <v>1320</v>
      </c>
      <c r="R14" s="216">
        <f ca="1">IF(I14&gt;=P14,I14,P14)</f>
        <v>1120</v>
      </c>
      <c r="S14" s="214">
        <f>S12+S13</f>
        <v>1350</v>
      </c>
      <c r="T14" s="214">
        <f>T12+T13</f>
        <v>1150</v>
      </c>
    </row>
    <row r="15" spans="1:34" ht="13.2">
      <c r="A15" s="283"/>
      <c r="B15" s="205">
        <f>Kalk!L8</f>
        <v>590</v>
      </c>
      <c r="C15" s="214">
        <f>IF(OR(B13="F0110",B13="F0409",B13="F0410",B13="F0422",B13="F0427",B13="F0452"),1,0)</f>
        <v>0</v>
      </c>
      <c r="D15" s="214">
        <v>1</v>
      </c>
      <c r="E15" s="214">
        <f>IF(OR(B13="F0711",B13="F0713"),1,0)</f>
        <v>0</v>
      </c>
      <c r="F15" s="214">
        <f>IF(B13="F0451",1,0)</f>
        <v>0</v>
      </c>
      <c r="H15" s="214">
        <f ca="1">PRODUCT(D12,K15)</f>
        <v>1320</v>
      </c>
      <c r="I15" s="214">
        <f ca="1">PRODUCT(C12,L15)</f>
        <v>1120</v>
      </c>
      <c r="J15" s="213">
        <f ca="1">PRODUCT(K15:L15,F12)</f>
        <v>138600</v>
      </c>
      <c r="K15" s="214">
        <f ca="1">IF((S14/D12)&lt;=1,0,ROUNDDOWN(S14/D12,0))</f>
        <v>33</v>
      </c>
      <c r="L15" s="214">
        <f ca="1">IF((T14/C12)&lt;=1,0,ROUNDDOWN(T14/C12,0))</f>
        <v>28</v>
      </c>
      <c r="M15" s="214">
        <v>1</v>
      </c>
      <c r="N15" s="214">
        <v>1</v>
      </c>
      <c r="O15" s="214">
        <f>IF(M15=1,$S$12,  IF(M15=2,$S$12*2,  IF(M15=3,$S$12*3,   0)))</f>
        <v>1200</v>
      </c>
      <c r="P15" s="214">
        <f>IF(N15=1,$T$12,  IF(N15=2,$T$12*2,  IF(N15=3,$T$12*3,  IF(N15=4,$T$12*4,   0))))</f>
        <v>1000</v>
      </c>
      <c r="Q15" s="216">
        <f ca="1">IF(H15&gt;=O15,H15,O15)</f>
        <v>1320</v>
      </c>
      <c r="R15" s="216">
        <f ca="1">IF(I15&gt;=P15,I15,P15)</f>
        <v>1120</v>
      </c>
      <c r="S15" s="214">
        <f>S12+S13*2</f>
        <v>1500</v>
      </c>
      <c r="T15" s="214">
        <f>T12+T13*2</f>
        <v>1300</v>
      </c>
    </row>
    <row r="16" spans="1:34" ht="13.2">
      <c r="A16" s="283"/>
      <c r="B16" s="214">
        <f>IF( B15&gt;690,1,0)</f>
        <v>0</v>
      </c>
      <c r="C16" s="214">
        <f>IF(E12=2100,3,IF(E12=1800,5,IF(E12=1250,7,0)))</f>
        <v>3</v>
      </c>
      <c r="D16" s="214">
        <f>IF(E12=2100,3,IF(E12=1800,5,IF(E12=1250,7,0)))</f>
        <v>3</v>
      </c>
      <c r="E16" s="214">
        <f>IF(E12=2100,3,IF(E12=1800,5,IF(E12=1250,7,0)))</f>
        <v>3</v>
      </c>
      <c r="F16" s="214">
        <f>IF(E12=2100,3,IF(E12=1800,5,IF(E12=1250,7,0)))</f>
        <v>3</v>
      </c>
      <c r="H16" s="198"/>
      <c r="I16" s="198"/>
      <c r="J16" s="198"/>
      <c r="S16" s="214">
        <f>(S12+S13)*2</f>
        <v>2700</v>
      </c>
      <c r="T16" s="214">
        <f>(T12+T13)*2</f>
        <v>2300</v>
      </c>
    </row>
    <row r="17" spans="1:36" ht="13.2">
      <c r="A17" s="283"/>
      <c r="C17" s="198"/>
      <c r="D17" s="198"/>
      <c r="E17" s="198"/>
      <c r="F17" s="198"/>
      <c r="H17" s="198"/>
      <c r="I17" s="217"/>
      <c r="J17" s="198"/>
      <c r="S17" s="214">
        <f>(S12*3)+(S13*2)</f>
        <v>3900</v>
      </c>
      <c r="T17" s="214">
        <f>(T12*3)+(T13*2)</f>
        <v>3300</v>
      </c>
    </row>
    <row r="18" spans="1:36" ht="13.2">
      <c r="A18" s="283"/>
      <c r="C18" s="198"/>
      <c r="D18" s="198"/>
      <c r="E18" s="198"/>
      <c r="F18" s="198"/>
      <c r="H18" s="198"/>
      <c r="I18" s="217"/>
      <c r="J18" s="198"/>
      <c r="S18" s="214"/>
      <c r="T18" s="214">
        <f>(T12*4)+(T13*2)</f>
        <v>4300</v>
      </c>
    </row>
    <row r="19" spans="1:36" ht="13.2">
      <c r="B19" s="198"/>
      <c r="C19" s="198"/>
      <c r="D19" s="198"/>
      <c r="E19" s="198"/>
      <c r="F19" s="198"/>
      <c r="H19" s="198"/>
      <c r="I19" s="217"/>
      <c r="J19" s="198"/>
      <c r="S19" s="198"/>
      <c r="T19" s="198"/>
    </row>
    <row r="20" spans="1:36" ht="30.6">
      <c r="A20" s="283">
        <v>3</v>
      </c>
      <c r="B20" s="218" t="str">
        <f>Kalk!B11</f>
        <v xml:space="preserve"> </v>
      </c>
      <c r="C20" s="218" t="s">
        <v>1145</v>
      </c>
      <c r="D20" s="218" t="s">
        <v>1146</v>
      </c>
      <c r="E20" s="218" t="s">
        <v>1147</v>
      </c>
      <c r="F20" s="218" t="s">
        <v>83</v>
      </c>
      <c r="H20" s="284" t="s">
        <v>1148</v>
      </c>
      <c r="I20" s="284"/>
      <c r="J20" s="284"/>
      <c r="S20" s="204" t="s">
        <v>1149</v>
      </c>
      <c r="T20" s="204" t="s">
        <v>1150</v>
      </c>
      <c r="W20"/>
      <c r="X20"/>
      <c r="Y20" s="220"/>
      <c r="Z20" s="288"/>
      <c r="AA20" s="288"/>
      <c r="AC20" s="222"/>
      <c r="AD20" s="222"/>
    </row>
    <row r="21" spans="1:36" ht="17.399999999999999">
      <c r="A21" s="283"/>
      <c r="B21" s="205" t="str">
        <f>Kalk!K12</f>
        <v>B</v>
      </c>
      <c r="C21" s="206" cm="1">
        <f t="array" aca="1" ref="C21" ca="1">IF(OR(B21="E",B21="B",B21="C"),INDIRECT("'"&amp;B22&amp;"'!J27"),IF(OR(B21="EB",B21="BC"),INDIRECT("'"&amp;B22&amp;"'!J29"),""))</f>
        <v>20</v>
      </c>
      <c r="D21" s="207" cm="1">
        <f t="array" aca="1" ref="D21" ca="1">IF(OR(B21="E",B21="B",B21="C"),INDIRECT("'"&amp;B22&amp;"'!K27"),IF(OR(B21="EB",B21="BC"),INDIRECT("'"&amp;B22&amp;"'!K29"),""))</f>
        <v>20</v>
      </c>
      <c r="E21" s="219">
        <f>Kalk!Q12</f>
        <v>2100</v>
      </c>
      <c r="F21" s="207">
        <f>IF(OR(B22="F0110",B22="F0409",B22="F0410",B22="F0422",B22="F0427",B22="F0452"),C23,      IF(OR(B22="F0200",B22="F0201",B22="F0202",B22="F0203",B22="F0200-F0203",B22="F0201-F0203",B22="F0501"),D23,      IF(OR(B22="F0711",B22="F0713"),E23,       IF(B22="F0451",F23,0))))</f>
        <v>300</v>
      </c>
      <c r="H21" s="208">
        <f>IF(AND(Kalk!C12="",Kalk!E12="",Kalk!G12=""),0,   M21)</f>
        <v>0</v>
      </c>
      <c r="I21" s="208">
        <f>IF(AND(Kalk!C12="",Kalk!E12="",Kalk!G12=""),0,   N21)</f>
        <v>0</v>
      </c>
      <c r="J21" s="209">
        <f>Kalk!Q12</f>
        <v>2100</v>
      </c>
      <c r="K21" s="210">
        <f ca="1">IF(AND(M21=Q23,N21=R23), M23*N23,   IF(AND(M21=Q24,N21=R24), M24*N24, 0))</f>
        <v>1</v>
      </c>
      <c r="L21" s="211">
        <f>IF(AND(Kalk!C12="",Kalk!E12="",Kalk!G12=""),0,
   IF(AND(H21=Q23,I21=R23,J23&gt;=J24),J23,J24))</f>
        <v>0</v>
      </c>
      <c r="M21" s="211">
        <f ca="1">IF(J23&gt;J24,Q23,
   IF(AND(J23=J24,Q23*R23&lt;=Q24*R24),Q23,Q24))</f>
        <v>1500</v>
      </c>
      <c r="N21" s="212">
        <f ca="1">IF(AND(M21=Q23,J23&gt;=J24),R23,   IF(OR(P23=0,P24=0), 0,  R24))</f>
        <v>1100</v>
      </c>
      <c r="Q21" s="213">
        <f>Kalk!S14</f>
        <v>1500</v>
      </c>
      <c r="R21" s="213">
        <f>Kalk!T14</f>
        <v>1100</v>
      </c>
      <c r="S21" s="214">
        <f>Kalk!S12</f>
        <v>1200</v>
      </c>
      <c r="T21" s="214">
        <f>Kalk!T12</f>
        <v>800</v>
      </c>
      <c r="Y21" s="223"/>
      <c r="Z21" s="221"/>
      <c r="AA21" s="224"/>
      <c r="AC21" s="225"/>
      <c r="AD21" s="225"/>
    </row>
    <row r="22" spans="1:36" ht="17.399999999999999">
      <c r="A22" s="283"/>
      <c r="B22" s="205" t="str">
        <f>Kalk!B12</f>
        <v>F0201</v>
      </c>
      <c r="C22" s="214" t="s">
        <v>1155</v>
      </c>
      <c r="D22" s="214" t="s">
        <v>1156</v>
      </c>
      <c r="E22" s="214" t="s">
        <v>1157</v>
      </c>
      <c r="F22" s="214" t="s">
        <v>1158</v>
      </c>
      <c r="H22" s="282" t="s">
        <v>1159</v>
      </c>
      <c r="I22" s="282"/>
      <c r="J22" s="203" t="s">
        <v>83</v>
      </c>
      <c r="K22" s="282" t="s">
        <v>46</v>
      </c>
      <c r="L22" s="282"/>
      <c r="M22" s="285" t="s">
        <v>1160</v>
      </c>
      <c r="N22" s="285"/>
      <c r="O22" s="282" t="s">
        <v>1161</v>
      </c>
      <c r="P22" s="282"/>
      <c r="Q22" s="282" t="s">
        <v>1162</v>
      </c>
      <c r="R22" s="282"/>
      <c r="S22" s="214">
        <f>Kalk!S13</f>
        <v>150</v>
      </c>
      <c r="T22" s="214">
        <f>Kalk!T13</f>
        <v>150</v>
      </c>
      <c r="Y22" s="226"/>
      <c r="Z22" s="221"/>
      <c r="AA22" s="221"/>
      <c r="AB22" s="198"/>
    </row>
    <row r="23" spans="1:36" ht="17.399999999999999">
      <c r="A23" s="283"/>
      <c r="B23" s="203" t="s">
        <v>1163</v>
      </c>
      <c r="C23" s="214">
        <f>IF(SUM(C24:C25)=4,VLOOKUP(Kalk!K12,Pakowanie!$V$2:$AH$8,5,0),   IF(SUM(C24:C25)=6,VLOOKUP(Kalk!K12,Pakowanie!$V$2:$AH$8,6,0),    IF(SUM(C24:C25)=8,VLOOKUP(Kalk!K12,Pakowanie!$V$2:$AH$8,7,0),0)))</f>
        <v>0</v>
      </c>
      <c r="D23" s="214">
        <f>IF(SUM(D24:D25)=14,W9,    IF(SUM(D24:D25)=16,X9,       IF(SUM(D24:D25)=18,Y9,     IF(SUM(D24:D25)=4,VLOOKUP(Kalk!K12,Pakowanie!$V$2:$AH$8,2,0),   IF(SUM(D24:D25)=6,VLOOKUP(Kalk!K12,Pakowanie!$V$2:$AH$8,3,0),    IF(SUM(D24:D25)=8,VLOOKUP(Kalk!K12,Pakowanie!$V$2:$AH$8,4,0),0))))))</f>
        <v>300</v>
      </c>
      <c r="E23" s="214">
        <f>IF(SUM(E24:E25)=4,VLOOKUP(Kalk!K12,Pakowanie!$V$2:$AH$8,8,0),   IF(SUM(E24:E25)=6,VLOOKUP(Kalk!K12,Pakowanie!$V$2:$AH$8,9,0),    IF(SUM(E24:E25)=8,VLOOKUP(Kalk!K12,Pakowanie!$V$2:$AH$8,10,0),0)))</f>
        <v>0</v>
      </c>
      <c r="F23" s="214">
        <f>IF(SUM(F24:F25)=4,VLOOKUP(Kalk!K12,Pakowanie!$V$2:$AH$8,11,0),   IF(SUM(F24:F25)=6,VLOOKUP(Kalk!K12,Pakowanie!$V$2:$AH$8,12,0),    IF(SUM(F24:F25)=8,VLOOKUP(Kalk!K12,Pakowanie!$V$2:$AH$8,13,0),0)))</f>
        <v>0</v>
      </c>
      <c r="H23" s="214">
        <f ca="1">PRODUCT(C21,K23)</f>
        <v>1500</v>
      </c>
      <c r="I23" s="214">
        <f ca="1">PRODUCT(D21,L23)</f>
        <v>1100</v>
      </c>
      <c r="J23" s="213">
        <f ca="1">PRODUCT(K23:L23,F21)</f>
        <v>1237500</v>
      </c>
      <c r="K23" s="214">
        <f ca="1">IF((S23/C21)&lt;=1,0,ROUNDDOWN(S23/C21,0))</f>
        <v>75</v>
      </c>
      <c r="L23" s="214">
        <f ca="1">IF((T23/D21)&lt;=1,0,ROUNDDOWN(T23/D21,0))</f>
        <v>55</v>
      </c>
      <c r="M23" s="214">
        <v>1</v>
      </c>
      <c r="N23" s="214">
        <v>1</v>
      </c>
      <c r="O23" s="214">
        <f>IF(M23=1,$S$21,  IF(M23=2,$S$21*2,  IF(M23=3,$S$21*3,   0)))</f>
        <v>1200</v>
      </c>
      <c r="P23" s="214">
        <f>IF(N23=1,$T$21,  IF(N23=2,$T$21*2,  IF(N23=3,$T$21*3,  IF(N23=4,$T$21*4,   0))))</f>
        <v>800</v>
      </c>
      <c r="Q23" s="216">
        <f ca="1">IF(H23&gt;=O23,H23,O23)</f>
        <v>1500</v>
      </c>
      <c r="R23" s="216">
        <f ca="1">IF(I23&gt;=P23,I23,P23)</f>
        <v>1100</v>
      </c>
      <c r="S23" s="214">
        <f>S21+S22*2</f>
        <v>1500</v>
      </c>
      <c r="T23" s="214">
        <f>T21+T22*2</f>
        <v>1100</v>
      </c>
      <c r="Y23" s="221"/>
      <c r="Z23" s="221"/>
      <c r="AA23" s="221"/>
      <c r="AB23" s="198"/>
    </row>
    <row r="24" spans="1:36" ht="13.2">
      <c r="A24" s="283"/>
      <c r="B24" s="205">
        <f>Kalk!L12</f>
        <v>274</v>
      </c>
      <c r="C24" s="214">
        <f>IF(OR(B22="F0110",B22="F0409",B22="F0410",B22="F0422",B22="F0427",B22="F0452"),1,0)</f>
        <v>0</v>
      </c>
      <c r="D24" s="214">
        <v>1</v>
      </c>
      <c r="E24" s="214">
        <f>IF(OR(B22="F0711",B22="F0713"),1,0)</f>
        <v>0</v>
      </c>
      <c r="F24" s="214">
        <f>IF(B22="F0451",1,0)</f>
        <v>0</v>
      </c>
      <c r="H24" s="214">
        <f ca="1">PRODUCT(D21,K24)</f>
        <v>1500</v>
      </c>
      <c r="I24" s="214">
        <f ca="1">PRODUCT(C21,L24)</f>
        <v>1100</v>
      </c>
      <c r="J24" s="213">
        <f ca="1">PRODUCT(K24:L24,F21)</f>
        <v>1237500</v>
      </c>
      <c r="K24" s="214">
        <f ca="1">IF((S23/D21)&lt;=1,0,ROUNDDOWN(S23/D21,0))</f>
        <v>75</v>
      </c>
      <c r="L24" s="214">
        <f ca="1">IF((T23/C21)&lt;=1,0,ROUNDDOWN(T23/C21,0))</f>
        <v>55</v>
      </c>
      <c r="M24" s="214">
        <v>1</v>
      </c>
      <c r="N24" s="214">
        <v>1</v>
      </c>
      <c r="O24" s="214">
        <f>IF(M24=1,$S$21,  IF(M24=2,$S$21*2,  IF(M24=3,$S$21*3,   0)))</f>
        <v>1200</v>
      </c>
      <c r="P24" s="214">
        <f>IF(N24=1,$T$21,  IF(N24=2,$T$21*2,  IF(N24=3,$T$21*3,  IF(N24=4,$T$21*4,   0))))</f>
        <v>800</v>
      </c>
      <c r="Q24" s="216">
        <f ca="1">IF(H24&gt;=O24,H24,O24)</f>
        <v>1500</v>
      </c>
      <c r="R24" s="216">
        <f ca="1">IF(I24&gt;=P24,I24,P24)</f>
        <v>1100</v>
      </c>
      <c r="S24" s="214">
        <f>S21*2+S22*2</f>
        <v>2700</v>
      </c>
      <c r="T24" s="214">
        <f>T21*2+T22*2</f>
        <v>1900</v>
      </c>
    </row>
    <row r="25" spans="1:36" ht="13.2">
      <c r="A25" s="283"/>
      <c r="B25" s="214">
        <f>IF( B24&gt;690,1,0)</f>
        <v>0</v>
      </c>
      <c r="C25" s="214">
        <f>IF(E21=2100,3,IF(E21=1800,5,IF(E21=1250,7,0)))</f>
        <v>3</v>
      </c>
      <c r="D25" s="214">
        <f>IF(E21=2100,3,IF(E21=1800,5,IF(E21=1250,7,0)))</f>
        <v>3</v>
      </c>
      <c r="E25" s="214">
        <f>IF(E21=2100,3,IF(E21=1800,5,IF(E21=1250,7,0)))</f>
        <v>3</v>
      </c>
      <c r="F25" s="214">
        <f>IF(E21=2100,3,IF(E21=1800,5,IF(E21=1250,7,0)))</f>
        <v>3</v>
      </c>
      <c r="H25" s="198"/>
      <c r="I25" s="198"/>
      <c r="J25" s="198"/>
      <c r="S25" s="214">
        <f>S21*3+S22*2</f>
        <v>3900</v>
      </c>
      <c r="T25" s="214">
        <f>T21*3+T22*2</f>
        <v>2700</v>
      </c>
    </row>
    <row r="26" spans="1:36" ht="13.2">
      <c r="A26" s="283"/>
      <c r="B26" s="198"/>
      <c r="C26" s="198"/>
      <c r="D26" s="198"/>
      <c r="E26" s="198"/>
      <c r="F26" s="198"/>
      <c r="H26" s="198"/>
      <c r="I26" s="217"/>
      <c r="J26" s="198"/>
      <c r="S26" s="214">
        <f>S21*4+S22*2</f>
        <v>5100</v>
      </c>
      <c r="T26" s="214">
        <f>T21*4+T22*2</f>
        <v>3500</v>
      </c>
    </row>
    <row r="27" spans="1:36" ht="13.2">
      <c r="A27" s="283"/>
      <c r="B27" s="198"/>
      <c r="C27" s="198"/>
      <c r="D27" s="198"/>
      <c r="E27" s="198"/>
      <c r="F27" s="198"/>
      <c r="H27" s="198"/>
      <c r="I27" s="217"/>
      <c r="J27" s="198"/>
      <c r="S27" s="214"/>
      <c r="T27" s="214">
        <f>T21*5+T22*2</f>
        <v>4300</v>
      </c>
    </row>
    <row r="28" spans="1:36" ht="13.2">
      <c r="B28" s="198"/>
      <c r="C28" s="198"/>
      <c r="D28" s="198"/>
      <c r="E28" s="198"/>
      <c r="F28" s="198"/>
      <c r="H28" s="198"/>
      <c r="I28" s="217"/>
      <c r="J28" s="198"/>
      <c r="S28" s="198"/>
      <c r="T28" s="198"/>
    </row>
    <row r="29" spans="1:36" ht="30.6">
      <c r="A29" s="283">
        <v>4</v>
      </c>
      <c r="B29" s="218" t="str">
        <f>Kalk!B15</f>
        <v xml:space="preserve"> </v>
      </c>
      <c r="C29" s="218" t="s">
        <v>1145</v>
      </c>
      <c r="D29" s="218" t="s">
        <v>1146</v>
      </c>
      <c r="E29" s="218" t="s">
        <v>1147</v>
      </c>
      <c r="F29" s="218" t="s">
        <v>83</v>
      </c>
      <c r="H29" s="284" t="s">
        <v>1148</v>
      </c>
      <c r="I29" s="284"/>
      <c r="J29" s="284"/>
      <c r="S29" s="204" t="s">
        <v>1149</v>
      </c>
      <c r="T29" s="204" t="s">
        <v>1150</v>
      </c>
      <c r="AE29" s="227"/>
      <c r="AF29" s="227"/>
      <c r="AG29" s="227"/>
      <c r="AH29" s="227"/>
      <c r="AI29" s="227"/>
      <c r="AJ29" s="202"/>
    </row>
    <row r="30" spans="1:36" ht="17.399999999999999">
      <c r="A30" s="283"/>
      <c r="B30" s="205" t="str">
        <f>Kalk!K16</f>
        <v>B</v>
      </c>
      <c r="C30" s="206" cm="1">
        <f t="array" aca="1" ref="C30" ca="1">IF(OR(B30="E",B30="B",B30="C"),INDIRECT("'"&amp;B31&amp;"'!J39"),IF(OR(B30="EB",B30="BC"),INDIRECT("'"&amp;B31&amp;"'!J41"),""))</f>
        <v>20</v>
      </c>
      <c r="D30" s="207" cm="1">
        <f t="array" aca="1" ref="D30" ca="1">IF(OR(B30="E",B30="B",B30="C"),INDIRECT("'"&amp;B31&amp;"'!K39"),IF(OR(B30="EB",B30="BC"),INDIRECT("'"&amp;B31&amp;"'!K41"),""))</f>
        <v>20</v>
      </c>
      <c r="E30" s="219">
        <f>Kalk!Q16</f>
        <v>2100</v>
      </c>
      <c r="F30" s="207">
        <f>IF(OR(B31="F0110",B31="F0409",B31="F0410",B31="F0422",B31="F0427",B31="F0452"),C32,      IF(OR(B31="F0200",B31="F0201",B31="F0202",B31="F0203",B31="F0200-F0203",B31="F0201-F0203",B31="F0501"),D32,      IF(OR(B31="F0711",B31="F0713"),E32,       IF(B31="F0451",F32,0))))</f>
        <v>300</v>
      </c>
      <c r="H30" s="208">
        <f>IF(AND(Kalk!C16="",Kalk!E16="",Kalk!G16=""),0,   M30)</f>
        <v>0</v>
      </c>
      <c r="I30" s="208">
        <f>IF(AND(Kalk!C16="",Kalk!E16="",Kalk!G16=""),0,   N30)</f>
        <v>0</v>
      </c>
      <c r="J30" s="209">
        <f>Kalk!Q16</f>
        <v>2100</v>
      </c>
      <c r="K30" s="210">
        <f ca="1">IF(AND(M30=Q32,N30=R32), M32*N32,   IF(AND(M30=Q33,N30=R33), M33*N33, 0))</f>
        <v>1</v>
      </c>
      <c r="L30" s="211">
        <f>IF(AND(Kalk!C16="",Kalk!E16="",Kalk!G16=""),0,
   IF(AND(H30=Q32,I30=R32,J32&gt;=J33),J32,J33))</f>
        <v>0</v>
      </c>
      <c r="M30" s="211">
        <f ca="1">IF(J32&gt;J33,Q32,
   IF(AND(J32=J33,Q32*R32&lt;=Q33*R33),Q32,Q33))</f>
        <v>1240</v>
      </c>
      <c r="N30" s="212">
        <f ca="1">IF(AND(M30=Q32,J32&gt;=J33),R32,   IF(OR(P32=0,P33=0), 0,  R33))</f>
        <v>900</v>
      </c>
      <c r="Q30" s="213">
        <f>Kalk!S18</f>
        <v>1240</v>
      </c>
      <c r="R30" s="213">
        <f>Kalk!T18</f>
        <v>900</v>
      </c>
      <c r="S30" s="214">
        <f>Kalk!S16</f>
        <v>1200</v>
      </c>
      <c r="T30" s="214">
        <f>Kalk!T16</f>
        <v>800</v>
      </c>
      <c r="AE30" s="227"/>
      <c r="AF30" s="227"/>
      <c r="AG30" s="227"/>
      <c r="AH30" s="227"/>
      <c r="AI30" s="227"/>
      <c r="AJ30" s="202"/>
    </row>
    <row r="31" spans="1:36" ht="15.6">
      <c r="A31" s="283"/>
      <c r="B31" s="205" t="str">
        <f>Kalk!B16</f>
        <v>F0201</v>
      </c>
      <c r="C31" s="214" t="s">
        <v>1155</v>
      </c>
      <c r="D31" s="214" t="s">
        <v>1156</v>
      </c>
      <c r="E31" s="214" t="s">
        <v>1157</v>
      </c>
      <c r="F31" s="214" t="s">
        <v>1158</v>
      </c>
      <c r="H31" s="282" t="s">
        <v>1159</v>
      </c>
      <c r="I31" s="282"/>
      <c r="J31" s="203" t="s">
        <v>83</v>
      </c>
      <c r="K31" s="282" t="s">
        <v>46</v>
      </c>
      <c r="L31" s="282"/>
      <c r="M31" s="285" t="s">
        <v>1160</v>
      </c>
      <c r="N31" s="285"/>
      <c r="O31" s="282" t="s">
        <v>1161</v>
      </c>
      <c r="P31" s="282"/>
      <c r="Q31" s="282" t="s">
        <v>1162</v>
      </c>
      <c r="R31" s="282"/>
      <c r="S31" s="214">
        <f>Kalk!S17</f>
        <v>20</v>
      </c>
      <c r="T31" s="214">
        <f>Kalk!T17</f>
        <v>50</v>
      </c>
      <c r="AE31" s="227"/>
      <c r="AF31" s="227"/>
      <c r="AG31" s="227"/>
      <c r="AH31" s="227"/>
      <c r="AI31" s="227"/>
      <c r="AJ31" s="202"/>
    </row>
    <row r="32" spans="1:36" ht="15.6">
      <c r="A32" s="283"/>
      <c r="B32" s="203" t="s">
        <v>1163</v>
      </c>
      <c r="C32" s="214">
        <f>IF(SUM(C33:C34)=4,VLOOKUP(Kalk!K16,Pakowanie!$V$2:$AH$8,5,0),   IF(SUM(C33:C34)=6,VLOOKUP(Kalk!K16,Pakowanie!$V$2:$AH$8,6,0),    IF(SUM(C33:C34)=8,VLOOKUP(Kalk!K16,Pakowanie!$V$2:$AH$8,7,0),0)))</f>
        <v>0</v>
      </c>
      <c r="D32" s="214">
        <f>IF(SUM(D33:D34)=14,W9,    IF(SUM(D33:D34)=16,X9,       IF(SUM(D33:D34)=18,Y9,     IF(SUM(D33:D34)=4,VLOOKUP(Kalk!K16,Pakowanie!$V$2:$AH$8,2,0),   IF(SUM(D33:D34)=6,VLOOKUP(Kalk!K16,Pakowanie!$V$2:$AH$8,3,0),    IF(SUM(D33:D34)=8,VLOOKUP(Kalk!K16,Pakowanie!$V$2:$AH$8,4,0),0))))))</f>
        <v>300</v>
      </c>
      <c r="E32" s="214">
        <f>IF(SUM(E33:E34)=4,VLOOKUP(Kalk!K16,Pakowanie!$V$2:$AH$8,8,0),   IF(SUM(E33:E34)=6,VLOOKUP(Kalk!K16,Pakowanie!$V$2:$AH$8,9,0),    IF(SUM(E33:E34)=8,VLOOKUP(Kalk!K16,Pakowanie!$V$2:$AH$8,10,0),0)))</f>
        <v>0</v>
      </c>
      <c r="F32" s="214">
        <f>IF(SUM(F33:F34)=4,VLOOKUP(Kalk!K16,Pakowanie!$V$2:$AH$8,11,0),   IF(SUM(F33:F34)=6,VLOOKUP(Kalk!K16,Pakowanie!$V$2:$AH$8,12,0),    IF(SUM(F33:F34)=8,VLOOKUP(Kalk!K16,Pakowanie!$V$2:$AH$8,13,0),0)))</f>
        <v>0</v>
      </c>
      <c r="H32" s="214">
        <f ca="1">PRODUCT(C30,K32)</f>
        <v>1240</v>
      </c>
      <c r="I32" s="214">
        <f ca="1">PRODUCT(D30,L32)</f>
        <v>900</v>
      </c>
      <c r="J32" s="213">
        <f ca="1">PRODUCT(K32:L32,F30)</f>
        <v>837000</v>
      </c>
      <c r="K32" s="214">
        <f ca="1">IF((S32/C30)&lt;=1,0,ROUNDDOWN(S32/C30,0))</f>
        <v>62</v>
      </c>
      <c r="L32" s="214">
        <f ca="1">IF((T32/D30)&lt;=1,0,ROUNDDOWN(T32/D30,0))</f>
        <v>45</v>
      </c>
      <c r="M32" s="214">
        <v>1</v>
      </c>
      <c r="N32" s="214">
        <v>1</v>
      </c>
      <c r="O32" s="214">
        <f>IF(M32=1,$S$30,  IF(M32=2,$S$30*2,  IF(M32=3,$S$30*3,   0)))</f>
        <v>1200</v>
      </c>
      <c r="P32" s="214">
        <f>IF(N32=1,$T$30,  IF(N32=2,$T$30*2,  IF(N32=3,$T$30*3,  IF(N32=4,$T$30*4,   0))))</f>
        <v>800</v>
      </c>
      <c r="Q32" s="216">
        <f ca="1">IF(H32&gt;=O32,H32,O32)</f>
        <v>1240</v>
      </c>
      <c r="R32" s="216">
        <f ca="1">IF(I32&gt;=P32,I32,P32)</f>
        <v>900</v>
      </c>
      <c r="S32" s="214">
        <f>S30+S31*2</f>
        <v>1240</v>
      </c>
      <c r="T32" s="214">
        <f>T30+T31*2</f>
        <v>900</v>
      </c>
      <c r="AE32" s="227"/>
      <c r="AF32" s="227"/>
      <c r="AG32" s="227"/>
      <c r="AH32" s="227"/>
      <c r="AI32" s="227"/>
      <c r="AJ32" s="202"/>
    </row>
    <row r="33" spans="1:36" ht="15.6">
      <c r="A33" s="283"/>
      <c r="B33" s="205">
        <f>Kalk!L16</f>
        <v>274</v>
      </c>
      <c r="C33" s="214">
        <f>IF(OR(B31="F0110",B31="F0409",B31="F0410",B31="F0422",B31="F0427",B31="F0452"),1,0)</f>
        <v>0</v>
      </c>
      <c r="D33" s="214">
        <v>1</v>
      </c>
      <c r="E33" s="214">
        <f>IF(OR(B31="F0711",B31="F0713"),1,0)</f>
        <v>0</v>
      </c>
      <c r="F33" s="214">
        <f>IF(B31="F0451",1,0)</f>
        <v>0</v>
      </c>
      <c r="H33" s="214">
        <f ca="1">PRODUCT(D30,K33)</f>
        <v>1240</v>
      </c>
      <c r="I33" s="214">
        <f ca="1">PRODUCT(C30,L33)</f>
        <v>900</v>
      </c>
      <c r="J33" s="213">
        <f ca="1">PRODUCT(K33:L33,F30)</f>
        <v>837000</v>
      </c>
      <c r="K33" s="214">
        <f ca="1">IF((S32/D30)&lt;=1,0,ROUNDDOWN(S32/D30,0))</f>
        <v>62</v>
      </c>
      <c r="L33" s="214">
        <f ca="1">IF((T32/C30)&lt;=1,0,ROUNDDOWN(T32/C30,0))</f>
        <v>45</v>
      </c>
      <c r="M33" s="214">
        <v>1</v>
      </c>
      <c r="N33" s="214">
        <v>1</v>
      </c>
      <c r="O33" s="214">
        <f>IF(M33=1,$S$30,  IF(M33=2,$S$30*2,  IF(M33=3,$S$30*3,   0)))</f>
        <v>1200</v>
      </c>
      <c r="P33" s="214">
        <f>IF(N33=1,$T$30,  IF(N33=2,$T$30*2,  IF(N33=3,$T$30*3,  IF(N33=4,$T$30*4,   0))))</f>
        <v>800</v>
      </c>
      <c r="Q33" s="216">
        <f ca="1">IF(H33&gt;=O33,H33,O33)</f>
        <v>1240</v>
      </c>
      <c r="R33" s="216">
        <f ca="1">IF(I33&gt;=P33,I33,P33)</f>
        <v>900</v>
      </c>
      <c r="S33" s="214">
        <f>S30*2+S31*2</f>
        <v>2440</v>
      </c>
      <c r="T33" s="214">
        <f>T30*2+T31*2</f>
        <v>1700</v>
      </c>
      <c r="Y33" s="202"/>
      <c r="AE33" s="227"/>
      <c r="AF33" s="227"/>
      <c r="AG33" s="227"/>
      <c r="AH33" s="227"/>
      <c r="AI33" s="227"/>
      <c r="AJ33" s="202"/>
    </row>
    <row r="34" spans="1:36" ht="15.6">
      <c r="A34" s="283"/>
      <c r="B34" s="214">
        <f>IF( B33&gt;690,1,0)</f>
        <v>0</v>
      </c>
      <c r="C34" s="214">
        <f>IF(E30=2100,3,IF(E30=1800,5,IF(E30=1250,7,0)))</f>
        <v>3</v>
      </c>
      <c r="D34" s="214">
        <f>IF(E30=2100,3,IF(E30=1800,5,IF(E30=1250,7,0)))</f>
        <v>3</v>
      </c>
      <c r="E34" s="214">
        <f>IF(E30=2100,3,IF(E30=1800,5,IF(E30=1250,7,0)))</f>
        <v>3</v>
      </c>
      <c r="F34" s="214">
        <f>IF(E30=2100,3,IF(E30=1800,5,IF(E30=1250,7,0)))</f>
        <v>3</v>
      </c>
      <c r="H34" s="198"/>
      <c r="I34" s="198"/>
      <c r="J34" s="198"/>
      <c r="S34" s="214">
        <f>S30*3+S31*2</f>
        <v>3640</v>
      </c>
      <c r="T34" s="214">
        <f>T30*3+T31*2</f>
        <v>2500</v>
      </c>
      <c r="AE34" s="227"/>
      <c r="AF34" s="227"/>
      <c r="AG34" s="227"/>
      <c r="AH34" s="227"/>
      <c r="AI34" s="227"/>
      <c r="AJ34" s="202"/>
    </row>
    <row r="35" spans="1:36" ht="15.6">
      <c r="A35" s="283"/>
      <c r="B35" s="198"/>
      <c r="C35" s="198"/>
      <c r="D35" s="198"/>
      <c r="E35" s="198"/>
      <c r="F35" s="198"/>
      <c r="H35" s="198"/>
      <c r="I35" s="217"/>
      <c r="J35" s="198"/>
      <c r="S35" s="214">
        <f>S30*4+S31*2</f>
        <v>4840</v>
      </c>
      <c r="T35" s="214">
        <f>T30*4+T31*2</f>
        <v>3300</v>
      </c>
      <c r="Y35" s="198"/>
      <c r="AA35" s="198"/>
      <c r="AB35" s="286"/>
      <c r="AC35" s="286"/>
      <c r="AE35" s="227"/>
      <c r="AF35" s="227"/>
      <c r="AG35" s="227"/>
      <c r="AH35" s="227"/>
      <c r="AI35" s="227"/>
      <c r="AJ35" s="202"/>
    </row>
    <row r="36" spans="1:36" ht="15.6">
      <c r="A36" s="283"/>
      <c r="B36" s="198"/>
      <c r="C36" s="198"/>
      <c r="D36" s="198"/>
      <c r="E36" s="198"/>
      <c r="F36" s="198"/>
      <c r="H36" s="198"/>
      <c r="I36" s="217"/>
      <c r="J36" s="198"/>
      <c r="S36" s="214"/>
      <c r="T36" s="214">
        <f>T30*5+T31*2</f>
        <v>4100</v>
      </c>
      <c r="Y36" s="198"/>
      <c r="AA36" s="198"/>
      <c r="AB36" s="198"/>
      <c r="AE36" s="227"/>
      <c r="AF36" s="227"/>
      <c r="AG36" s="227"/>
      <c r="AH36" s="227"/>
      <c r="AI36" s="227"/>
      <c r="AJ36" s="202"/>
    </row>
    <row r="37" spans="1:36" ht="15.6">
      <c r="B37" s="198"/>
      <c r="C37" s="198"/>
      <c r="D37" s="198"/>
      <c r="E37" s="198"/>
      <c r="F37" s="198"/>
      <c r="H37" s="198"/>
      <c r="I37" s="217"/>
      <c r="J37" s="198"/>
      <c r="S37" s="198"/>
      <c r="T37" s="198"/>
      <c r="Y37" s="198"/>
      <c r="AA37" s="198"/>
      <c r="AB37" s="198"/>
      <c r="AE37" s="227"/>
      <c r="AF37" s="227"/>
      <c r="AG37" s="227"/>
      <c r="AH37" s="227"/>
      <c r="AI37" s="227"/>
      <c r="AJ37" s="202"/>
    </row>
    <row r="38" spans="1:36" ht="30.6">
      <c r="A38" s="283">
        <v>5</v>
      </c>
      <c r="B38" s="218" t="str">
        <f>Kalk!B19</f>
        <v xml:space="preserve"> </v>
      </c>
      <c r="C38" s="218" t="s">
        <v>1145</v>
      </c>
      <c r="D38" s="218" t="s">
        <v>1146</v>
      </c>
      <c r="E38" s="218" t="s">
        <v>1147</v>
      </c>
      <c r="F38" s="218" t="s">
        <v>83</v>
      </c>
      <c r="H38" s="284" t="s">
        <v>1148</v>
      </c>
      <c r="I38" s="284"/>
      <c r="J38" s="284"/>
      <c r="S38" s="204" t="s">
        <v>1149</v>
      </c>
      <c r="T38" s="204" t="s">
        <v>1150</v>
      </c>
      <c r="Y38" s="198"/>
      <c r="Z38" s="198"/>
      <c r="AA38" s="228"/>
      <c r="AB38" s="229"/>
      <c r="AC38" s="217"/>
      <c r="AE38" s="227"/>
      <c r="AF38" s="227"/>
      <c r="AG38" s="227"/>
      <c r="AH38" s="227"/>
      <c r="AI38" s="227"/>
      <c r="AJ38" s="202"/>
    </row>
    <row r="39" spans="1:36" ht="17.399999999999999">
      <c r="A39" s="283"/>
      <c r="B39" s="205" t="str">
        <f>Kalk!K20</f>
        <v>B</v>
      </c>
      <c r="C39" s="206" cm="1">
        <f t="array" aca="1" ref="C39" ca="1">IF(OR(B39="E",B39="B",B39="C"),INDIRECT("'"&amp;B40&amp;"'!J51"),IF(OR(B39="EB",B39="BC"),INDIRECT("'"&amp;B40&amp;"'!J53"),""))</f>
        <v>20</v>
      </c>
      <c r="D39" s="207" cm="1">
        <f t="array" aca="1" ref="D39" ca="1">IF(OR(B39="E",B39="B",B39="C"),INDIRECT("'"&amp;B40&amp;"'!K51"),IF(OR(B39="EB",B39="BC"),INDIRECT("'"&amp;B40&amp;"'!K53"),""))</f>
        <v>20</v>
      </c>
      <c r="E39" s="219">
        <f>Kalk!Q20</f>
        <v>2100</v>
      </c>
      <c r="F39" s="207">
        <f>IF(OR(B40="F0110",B40="F0409",B40="F0410",B40="F0422",B40="F0427",B40="F0452"),C41,      IF(OR(B40="F0200",B40="F0201",B40="F0202",B40="F0203",B40="F0200-F0203",B40="F0201-F0203",B40="F0501"),D41,      IF(OR(B40="F0711",B40="F0713"),E41,       IF(B40="F0451",F41,0))))</f>
        <v>300</v>
      </c>
      <c r="H39" s="208">
        <f>IF(AND(Kalk!C20="",Kalk!E20="",Kalk!G20=""),0,  M39)</f>
        <v>0</v>
      </c>
      <c r="I39" s="208">
        <f>IF(AND(Kalk!C20="",Kalk!E20="",Kalk!G20=""),0,  N39)</f>
        <v>0</v>
      </c>
      <c r="J39" s="209">
        <f>Kalk!Q20</f>
        <v>2100</v>
      </c>
      <c r="K39" s="210">
        <f ca="1">IF(AND(M39=Q41,N39=R41), M41*N41,   IF(AND(M39=Q42,N39=R42), M42*N42, 0))</f>
        <v>1</v>
      </c>
      <c r="L39" s="211">
        <f>IF(AND(Kalk!C20="",Kalk!E20="",Kalk!G20=""),0,
   IF(AND(H39=Q41,I39=R41,J41&gt;=J42),J41,J42))</f>
        <v>0</v>
      </c>
      <c r="M39" s="211">
        <f ca="1">IF(J41&gt;J42,Q41,
   IF(AND(J41=J42,Q41*R41&lt;=Q42*R42),Q41,Q42))</f>
        <v>1240</v>
      </c>
      <c r="N39" s="212">
        <f ca="1">IF(AND(M39=Q41,J41&gt;=J42),R41,   IF(OR(P41=0,P42=0), 0,  R42))</f>
        <v>900</v>
      </c>
      <c r="Q39" s="213">
        <f>Kalk!S22</f>
        <v>1240</v>
      </c>
      <c r="R39" s="213">
        <f>Kalk!T22</f>
        <v>900</v>
      </c>
      <c r="S39" s="214">
        <f>Kalk!S20</f>
        <v>1200</v>
      </c>
      <c r="T39" s="214">
        <f>Kalk!T20</f>
        <v>800</v>
      </c>
      <c r="Y39" s="198"/>
      <c r="Z39" s="198"/>
      <c r="AB39" s="217"/>
      <c r="AC39" s="217"/>
    </row>
    <row r="40" spans="1:36" ht="13.2">
      <c r="A40" s="283"/>
      <c r="B40" s="205" t="str">
        <f>Kalk!B20</f>
        <v>F0201</v>
      </c>
      <c r="C40" s="214" t="s">
        <v>1155</v>
      </c>
      <c r="D40" s="214" t="s">
        <v>1156</v>
      </c>
      <c r="E40" s="214" t="s">
        <v>1157</v>
      </c>
      <c r="F40" s="214" t="s">
        <v>1158</v>
      </c>
      <c r="H40" s="282" t="s">
        <v>1159</v>
      </c>
      <c r="I40" s="282"/>
      <c r="J40" s="203" t="s">
        <v>83</v>
      </c>
      <c r="K40" s="282" t="s">
        <v>46</v>
      </c>
      <c r="L40" s="282"/>
      <c r="M40" s="285" t="s">
        <v>1160</v>
      </c>
      <c r="N40" s="285"/>
      <c r="O40" s="282" t="s">
        <v>1161</v>
      </c>
      <c r="P40" s="282"/>
      <c r="Q40" s="282" t="s">
        <v>1162</v>
      </c>
      <c r="R40" s="282"/>
      <c r="S40" s="214">
        <f>Kalk!S21</f>
        <v>20</v>
      </c>
      <c r="T40" s="214">
        <f>Kalk!T21</f>
        <v>50</v>
      </c>
    </row>
    <row r="41" spans="1:36" ht="13.2">
      <c r="A41" s="283"/>
      <c r="B41" s="203" t="s">
        <v>1163</v>
      </c>
      <c r="C41" s="214">
        <f>IF(SUM(C42:C43)=4,VLOOKUP(Kalk!K20,Pakowanie!$V$2:$AH$8,5,0),   IF(SUM(C42:C43)=6,VLOOKUP(Kalk!K20,Pakowanie!$V$2:$AH$8,6,0),    IF(SUM(C42:C43)=8,VLOOKUP(Kalk!K20,Pakowanie!$V$2:$AH$8,7,0),0)))</f>
        <v>0</v>
      </c>
      <c r="D41" s="214">
        <f>IF(SUM(D42:D43)=14,W9,    IF(SUM(D42:D43)=16,X9,       IF(SUM(A42:D43)=18,Y9,     IF(SUM(D42:D43)=4,VLOOKUP(Kalk!K20,Pakowanie!$V$2:$AH$8,2,0),   IF(SUM(D42:D43)=6,VLOOKUP(Kalk!K20,Pakowanie!$V$2:$AH$8,3,0),    IF(SUM(D42:D43)=8,VLOOKUP(Kalk!K20,Pakowanie!$V$2:$AH$8,4,0),0))))))</f>
        <v>300</v>
      </c>
      <c r="E41" s="214">
        <f>IF(SUM(E42:E43)=4,VLOOKUP(Kalk!K20,Pakowanie!$V$2:$AH$8,8,0),   IF(SUM(E42:E43)=6,VLOOKUP(Kalk!K20,Pakowanie!$V$2:$AH$8,9,0),    IF(SUM(E42:E43)=8,VLOOKUP(Kalk!K20,Pakowanie!$V$2:$AH$8,10,0),0)))</f>
        <v>0</v>
      </c>
      <c r="F41" s="214">
        <f>IF(SUM(F42:F43)=4,VLOOKUP(Kalk!K20,Pakowanie!$V$2:$AH$8,11,0),   IF(SUM(F42:F43)=6,VLOOKUP(Kalk!K20,Pakowanie!$V$2:$AH$8,12,0),    IF(SUM(F42:F43)=8,VLOOKUP(Kalk!K20,Pakowanie!$V$2:$AH$8,13,0),0)))</f>
        <v>0</v>
      </c>
      <c r="H41" s="214">
        <f ca="1">PRODUCT(C39,K41)</f>
        <v>1240</v>
      </c>
      <c r="I41" s="214">
        <f ca="1">PRODUCT(D39,L41)</f>
        <v>900</v>
      </c>
      <c r="J41" s="213">
        <f ca="1">PRODUCT(K41:L41,F39)</f>
        <v>837000</v>
      </c>
      <c r="K41" s="214">
        <f ca="1">IF((S41/C39)&lt;=1,0,ROUNDDOWN(S41/C39,0))</f>
        <v>62</v>
      </c>
      <c r="L41" s="214">
        <f ca="1">IF((T41/D39)&lt;=1,0,ROUNDDOWN(T41/D39,0))</f>
        <v>45</v>
      </c>
      <c r="M41" s="214">
        <v>1</v>
      </c>
      <c r="N41" s="214">
        <v>1</v>
      </c>
      <c r="O41" s="214">
        <f>IF(M41=1,$S$39,  IF(M41=2,$S$39*2,  IF(M41=3,$S$39*3,   0)))</f>
        <v>1200</v>
      </c>
      <c r="P41" s="214">
        <f>IF(N41=1,$T$39,  IF(N41=2,$T$39*2,  IF(N41=3,$T$39*3,  IF(N41=4,$T$39*4,   0))))</f>
        <v>800</v>
      </c>
      <c r="Q41" s="216">
        <f ca="1">IF(H41&gt;=O41,H41,O41)</f>
        <v>1240</v>
      </c>
      <c r="R41" s="216">
        <f ca="1">IF(I41&gt;=P41,I41,P41)</f>
        <v>900</v>
      </c>
      <c r="S41" s="214">
        <f>S39+S40*2</f>
        <v>1240</v>
      </c>
      <c r="T41" s="214">
        <f>T39+T40*2</f>
        <v>900</v>
      </c>
    </row>
    <row r="42" spans="1:36" ht="15.6">
      <c r="A42" s="283"/>
      <c r="B42" s="205">
        <f>Kalk!L20</f>
        <v>274</v>
      </c>
      <c r="C42" s="214">
        <f>IF(OR(B40="F0110",B40="F0409",B40="F0410",B40="F0422",B40="F0427",B40="F0452"),1,0)</f>
        <v>0</v>
      </c>
      <c r="D42" s="214">
        <v>1</v>
      </c>
      <c r="E42" s="214">
        <f>IF(OR(B40="F0711",B40="F0713"),1,0)</f>
        <v>0</v>
      </c>
      <c r="F42" s="214">
        <f>IF(B40="F0451",1,0)</f>
        <v>0</v>
      </c>
      <c r="H42" s="214">
        <f ca="1">PRODUCT(D39,K42)</f>
        <v>1240</v>
      </c>
      <c r="I42" s="214">
        <f ca="1">PRODUCT(C39,L42)</f>
        <v>900</v>
      </c>
      <c r="J42" s="213">
        <f ca="1">PRODUCT(K42:L42,F39)</f>
        <v>837000</v>
      </c>
      <c r="K42" s="214">
        <f ca="1">IF((S41/D39)&lt;=1,0,ROUNDDOWN(S41/D39,0))</f>
        <v>62</v>
      </c>
      <c r="L42" s="214">
        <f ca="1">IF((T41/C39)&lt;=1,0,ROUNDDOWN(T41/C39,0))</f>
        <v>45</v>
      </c>
      <c r="M42" s="214">
        <v>1</v>
      </c>
      <c r="N42" s="214">
        <v>1</v>
      </c>
      <c r="O42" s="214">
        <f>IF(M42=1,$S$39,  IF(M42=2,$S$39*2,  IF(M42=3,$S$39*3,   0)))</f>
        <v>1200</v>
      </c>
      <c r="P42" s="214">
        <f>IF(N42=1,$T$39,  IF(N42=2,$T$39*2,  IF(N42=3,$T$39*3,  IF(N42=4,$T$39*4,   0))))</f>
        <v>800</v>
      </c>
      <c r="Q42" s="216">
        <f ca="1">IF(H42&gt;=O42,H42,O42)</f>
        <v>1240</v>
      </c>
      <c r="R42" s="216">
        <f ca="1">IF(I42&gt;=P42,I42,P42)</f>
        <v>900</v>
      </c>
      <c r="S42" s="214">
        <f>S39*2+S40*2</f>
        <v>2440</v>
      </c>
      <c r="T42" s="214">
        <f>T39*2+T40*2</f>
        <v>1700</v>
      </c>
      <c r="V42" s="227"/>
      <c r="W42" s="227"/>
      <c r="X42" s="227"/>
      <c r="Y42" s="227"/>
      <c r="Z42" s="202"/>
      <c r="AA42" s="202"/>
    </row>
    <row r="43" spans="1:36" ht="15.6">
      <c r="A43" s="283"/>
      <c r="B43" s="214">
        <f>IF( B42&gt;690,1,0)</f>
        <v>0</v>
      </c>
      <c r="C43" s="214">
        <f>IF(E39=2100,3,IF(E39=1800,5,IF(E39=1250,7,0)))</f>
        <v>3</v>
      </c>
      <c r="D43" s="214">
        <f>IF(E39=2100,3,IF(E39=1800,5,IF(E39=1250,7,0)))</f>
        <v>3</v>
      </c>
      <c r="E43" s="214">
        <f>IF(E39=2100,3,IF(E39=1800,5,IF(E39=1250,7,0)))</f>
        <v>3</v>
      </c>
      <c r="F43" s="214">
        <f>IF(E39=2100,3,IF(E39=1800,5,IF(E39=1250,7,0)))</f>
        <v>3</v>
      </c>
      <c r="H43" s="198"/>
      <c r="I43" s="198"/>
      <c r="J43" s="198"/>
      <c r="S43" s="214">
        <f>S39*3+S40*2</f>
        <v>3640</v>
      </c>
      <c r="T43" s="214">
        <f>T39*3+T40*2</f>
        <v>2500</v>
      </c>
      <c r="V43" s="227"/>
      <c r="W43" s="227"/>
      <c r="X43" s="227"/>
      <c r="Y43" s="227"/>
      <c r="Z43" s="202"/>
      <c r="AA43" s="202"/>
    </row>
    <row r="44" spans="1:36" ht="15.6">
      <c r="A44" s="283"/>
      <c r="B44" s="198"/>
      <c r="C44" s="198"/>
      <c r="D44" s="198"/>
      <c r="E44" s="198"/>
      <c r="F44" s="198"/>
      <c r="H44" s="198"/>
      <c r="I44" s="217"/>
      <c r="J44" s="198"/>
      <c r="S44" s="214">
        <f>S39*4+S40*2</f>
        <v>4840</v>
      </c>
      <c r="T44" s="214">
        <f>T39*4+T40*2</f>
        <v>3300</v>
      </c>
      <c r="V44" s="227"/>
      <c r="W44" s="227"/>
      <c r="X44" s="227"/>
      <c r="Y44" s="227"/>
      <c r="Z44" s="202"/>
      <c r="AA44" s="202"/>
    </row>
    <row r="45" spans="1:36" ht="15.6">
      <c r="A45" s="283"/>
      <c r="B45" s="198"/>
      <c r="C45" s="198"/>
      <c r="D45" s="198"/>
      <c r="E45" s="198"/>
      <c r="F45" s="198"/>
      <c r="H45" s="198"/>
      <c r="I45" s="217"/>
      <c r="J45" s="198"/>
      <c r="S45" s="214"/>
      <c r="T45" s="214">
        <f>T39*5+T40*2</f>
        <v>4100</v>
      </c>
      <c r="V45" s="227"/>
      <c r="W45" s="227"/>
      <c r="X45" s="227"/>
      <c r="Y45" s="227"/>
      <c r="Z45" s="202"/>
      <c r="AA45" s="202"/>
    </row>
    <row r="46" spans="1:36" ht="15.6">
      <c r="B46" s="198"/>
      <c r="C46" s="198"/>
      <c r="D46" s="198"/>
      <c r="E46" s="198"/>
      <c r="F46" s="198"/>
      <c r="H46" s="198"/>
      <c r="I46" s="217"/>
      <c r="J46" s="198"/>
      <c r="S46" s="198"/>
      <c r="T46" s="198"/>
      <c r="V46" s="227"/>
      <c r="W46" s="227"/>
      <c r="X46" s="227"/>
      <c r="Y46" s="227"/>
      <c r="Z46" s="202"/>
      <c r="AA46" s="202"/>
    </row>
    <row r="47" spans="1:36" ht="30.6">
      <c r="A47" s="283">
        <v>6</v>
      </c>
      <c r="B47" s="218" t="str">
        <f>Kalk!B23</f>
        <v xml:space="preserve"> </v>
      </c>
      <c r="C47" s="218" t="s">
        <v>1145</v>
      </c>
      <c r="D47" s="218" t="s">
        <v>1146</v>
      </c>
      <c r="E47" s="218" t="s">
        <v>1147</v>
      </c>
      <c r="F47" s="218" t="s">
        <v>83</v>
      </c>
      <c r="H47" s="284" t="s">
        <v>1148</v>
      </c>
      <c r="I47" s="284"/>
      <c r="J47" s="284"/>
      <c r="S47" s="204" t="s">
        <v>1149</v>
      </c>
      <c r="T47" s="204" t="s">
        <v>1150</v>
      </c>
      <c r="V47" s="227"/>
      <c r="W47" s="227"/>
      <c r="X47" s="227"/>
      <c r="Y47" s="227"/>
      <c r="Z47" s="202"/>
      <c r="AA47" s="202"/>
    </row>
    <row r="48" spans="1:36" ht="17.399999999999999">
      <c r="A48" s="283"/>
      <c r="B48" s="205" t="str">
        <f>Kalk!K24</f>
        <v>B</v>
      </c>
      <c r="C48" s="206" cm="1">
        <f t="array" aca="1" ref="C48" ca="1">IF(OR(B48="E",B48="B",B48="C"),INDIRECT("'"&amp;B49&amp;"'!J63"),IF(OR(B48="EB",B48="BC"),INDIRECT("'"&amp;B49&amp;"'!J65"),""))</f>
        <v>20</v>
      </c>
      <c r="D48" s="207" cm="1">
        <f t="array" aca="1" ref="D48" ca="1">IF(OR(B48="E",B48="B",B48="C"),INDIRECT("'"&amp;B49&amp;"'!K63"),IF(OR(B48="EB",B48="BC"),INDIRECT("'"&amp;B49&amp;"'!K65"),""))</f>
        <v>20</v>
      </c>
      <c r="E48" s="219">
        <f>Kalk!Q24</f>
        <v>2100</v>
      </c>
      <c r="F48" s="207">
        <f>IF(OR(B49="F0110",B49="F0409",B49="F0410",B49="F0422",B49="F0427",B49="F0452"),C50,      IF(OR(B49="F0200",B49="F0201",B49="F0202",B49="F0203",B49="F0200-F0203",B49="F0201-F0203",B49="F0501"),D50,      IF(OR(B49="F0711",B49="F0713"),E50,       IF(B49="F0451",F50,0))))</f>
        <v>300</v>
      </c>
      <c r="H48" s="208">
        <f>IF(AND(Kalk!C24="",Kalk!E24="",Kalk!G24=""),0,   M48)</f>
        <v>0</v>
      </c>
      <c r="I48" s="208">
        <f>IF(AND(Kalk!C24="",Kalk!E24="",Kalk!G24=""),0,   N48)</f>
        <v>0</v>
      </c>
      <c r="J48" s="209">
        <f>Kalk!Q24</f>
        <v>2100</v>
      </c>
      <c r="K48" s="210">
        <f ca="1">IF(AND(M48=Q50,N48=R50), M50*N50,   IF(AND(M48=Q51,N48=R51), M51*N51, 0))</f>
        <v>1</v>
      </c>
      <c r="L48" s="211">
        <f>IF(AND(Kalk!C24="",Kalk!E24="",Kalk!G24=""),0,
   IF(AND(H48=Q50,I48=R50,J50&gt;=J51),J50,J51))</f>
        <v>0</v>
      </c>
      <c r="M48" s="211">
        <f ca="1">IF(J50&gt;J51,Q50,
   IF(AND(J50=J51,Q50*R50&lt;=Q51*R51),Q50,Q51))</f>
        <v>1240</v>
      </c>
      <c r="N48" s="212">
        <f ca="1">IF(AND(M48=Q50,J50&gt;=J51),R50,   IF(OR(P50=0,P51=0), 0,  R51))</f>
        <v>900</v>
      </c>
      <c r="Q48" s="213">
        <f>Kalk!S26</f>
        <v>1240</v>
      </c>
      <c r="R48" s="213">
        <f>Kalk!T26</f>
        <v>900</v>
      </c>
      <c r="S48" s="214">
        <f>Kalk!S24</f>
        <v>1200</v>
      </c>
      <c r="T48" s="214">
        <f>Kalk!T24</f>
        <v>800</v>
      </c>
      <c r="V48" s="227"/>
      <c r="W48" s="227"/>
      <c r="X48" s="227"/>
      <c r="Y48" s="227"/>
      <c r="Z48" s="202"/>
      <c r="AA48" s="202"/>
    </row>
    <row r="49" spans="1:27" ht="15.6">
      <c r="A49" s="283"/>
      <c r="B49" s="205" t="str">
        <f>Kalk!B24</f>
        <v>F0201</v>
      </c>
      <c r="C49" s="214" t="s">
        <v>1155</v>
      </c>
      <c r="D49" s="214" t="s">
        <v>1156</v>
      </c>
      <c r="E49" s="214" t="s">
        <v>1157</v>
      </c>
      <c r="F49" s="214" t="s">
        <v>1158</v>
      </c>
      <c r="H49" s="282" t="s">
        <v>1159</v>
      </c>
      <c r="I49" s="282"/>
      <c r="J49" s="203" t="s">
        <v>83</v>
      </c>
      <c r="K49" s="282" t="s">
        <v>46</v>
      </c>
      <c r="L49" s="282"/>
      <c r="M49" s="285" t="s">
        <v>1160</v>
      </c>
      <c r="N49" s="285"/>
      <c r="O49" s="282" t="s">
        <v>1161</v>
      </c>
      <c r="P49" s="282"/>
      <c r="Q49" s="282" t="s">
        <v>1162</v>
      </c>
      <c r="R49" s="282"/>
      <c r="S49" s="214">
        <f>Kalk!S25</f>
        <v>20</v>
      </c>
      <c r="T49" s="214">
        <f>Kalk!T25</f>
        <v>50</v>
      </c>
      <c r="V49" s="227"/>
      <c r="W49" s="227"/>
      <c r="X49" s="227"/>
      <c r="Y49" s="227"/>
      <c r="Z49" s="202"/>
      <c r="AA49" s="202"/>
    </row>
    <row r="50" spans="1:27" ht="15.6">
      <c r="A50" s="283"/>
      <c r="B50" s="203" t="s">
        <v>1163</v>
      </c>
      <c r="C50" s="214">
        <f>IF(SUM(C51:C52)=4,VLOOKUP(Kalk!K24,Pakowanie!$V$2:$AH$8,5,0),   IF(SUM(C51:C52)=6,VLOOKUP(Kalk!K24,Pakowanie!$V$2:$AH$8,6,0),    IF(SUM(C51:C52)=8,VLOOKUP(Kalk!K24,Pakowanie!$V$2:$AH$8,7,0),0)))</f>
        <v>0</v>
      </c>
      <c r="D50" s="214">
        <f>IF(SUM(D51:D52)=14,W9,    IF(SUM(D51:D52)=16,X9,       IF(SUM(D51:D52)=18,Y9,     IF(SUM(D51:D52)=4,VLOOKUP(Kalk!K24,Pakowanie!$V$2:$AH$8,2,0),   IF(SUM(D51:D52)=6,VLOOKUP(Kalk!K24,Pakowanie!$V$2:$AH$8,3,0),    IF(SUM(D51:D52)=8,VLOOKUP(Kalk!K24,Pakowanie!$V$2:$AH$8,4,0),0))))))</f>
        <v>300</v>
      </c>
      <c r="E50" s="214">
        <f>IF(SUM(E51:E52)=4,VLOOKUP(Kalk!K24,Pakowanie!$V$2:$AH$8,8,0),   IF(SUM(E51:E52)=6,VLOOKUP(Kalk!K24,Pakowanie!$V$2:$AH$8,9,0),    IF(SUM(E51:E52)=8,VLOOKUP(Kalk!K24,Pakowanie!$V$2:$AH$8,10,0),0)))</f>
        <v>0</v>
      </c>
      <c r="F50" s="214">
        <f>IF(SUM(F51:F52)=4,VLOOKUP(Kalk!K24,Pakowanie!$V$2:$AH$8,11,0),   IF(SUM(F51:F52)=6,VLOOKUP(Kalk!K24,Pakowanie!$V$2:$AH$8,12,0),    IF(SUM(F51:F52)=8,VLOOKUP(Kalk!K24,Pakowanie!$V$2:$AH$8,13,0),0)))</f>
        <v>0</v>
      </c>
      <c r="H50" s="214">
        <f ca="1">PRODUCT(C48,K50)</f>
        <v>1240</v>
      </c>
      <c r="I50" s="214">
        <f ca="1">PRODUCT(D48,L50)</f>
        <v>900</v>
      </c>
      <c r="J50" s="213">
        <f ca="1">PRODUCT(K50:L50,F48)</f>
        <v>837000</v>
      </c>
      <c r="K50" s="214">
        <f ca="1">IF((S50/C48)&lt;=1,0,ROUNDDOWN(S50/C48,0))</f>
        <v>62</v>
      </c>
      <c r="L50" s="214">
        <f ca="1">IF((T50/D48)&lt;=1,0,ROUNDDOWN(T50/D48,0))</f>
        <v>45</v>
      </c>
      <c r="M50" s="214">
        <v>1</v>
      </c>
      <c r="N50" s="214">
        <v>1</v>
      </c>
      <c r="O50" s="214">
        <f>IF(M50=1,$S$48,  IF(M50=2,$S$48*2,  IF(M50=3,$S$48*3,   0)))</f>
        <v>1200</v>
      </c>
      <c r="P50" s="214">
        <f>IF(N50=1,$T$48,  IF(N50=2,$T$48*2,  IF(N50=3,$T$48*3,  IF(N50=4,$T$48*4,   0))))</f>
        <v>800</v>
      </c>
      <c r="Q50" s="216">
        <f ca="1">IF(H50&gt;=O50,H50,O50)</f>
        <v>1240</v>
      </c>
      <c r="R50" s="216">
        <f ca="1">IF(I50&gt;=P50,I50,P50)</f>
        <v>900</v>
      </c>
      <c r="S50" s="214">
        <f>S48+S49*2</f>
        <v>1240</v>
      </c>
      <c r="T50" s="214">
        <f>T48+T49*2</f>
        <v>900</v>
      </c>
      <c r="V50" s="227"/>
      <c r="W50" s="227"/>
      <c r="X50" s="227"/>
      <c r="Y50" s="227"/>
      <c r="Z50" s="202"/>
      <c r="AA50" s="202"/>
    </row>
    <row r="51" spans="1:27" ht="15.6">
      <c r="A51" s="283"/>
      <c r="B51" s="205">
        <f>Kalk!L24</f>
        <v>274</v>
      </c>
      <c r="C51" s="214">
        <f>IF(OR(B49="F0110",B49="F0409",B49="F0410",B49="F0422",B49="F0427",B49="F0452"),1,0)</f>
        <v>0</v>
      </c>
      <c r="D51" s="214">
        <v>1</v>
      </c>
      <c r="E51" s="214">
        <f>IF(OR(B49="F0711",B49="F0713"),1,0)</f>
        <v>0</v>
      </c>
      <c r="F51" s="214">
        <f>IF(B49="F0451",1,0)</f>
        <v>0</v>
      </c>
      <c r="H51" s="214">
        <f ca="1">PRODUCT(D48,K51)</f>
        <v>1240</v>
      </c>
      <c r="I51" s="214">
        <f ca="1">PRODUCT(C48,L51)</f>
        <v>900</v>
      </c>
      <c r="J51" s="213">
        <f ca="1">PRODUCT(K51:L51,F48)</f>
        <v>837000</v>
      </c>
      <c r="K51" s="214">
        <f ca="1">IF((S50/D48)&lt;=1,0,ROUNDDOWN(S50/D48,0))</f>
        <v>62</v>
      </c>
      <c r="L51" s="214">
        <f ca="1">IF((T50/C48)&lt;=1,0,ROUNDDOWN(T50/C48,0))</f>
        <v>45</v>
      </c>
      <c r="M51" s="214">
        <v>1</v>
      </c>
      <c r="N51" s="214">
        <v>1</v>
      </c>
      <c r="O51" s="214">
        <f>IF(M51=1,$S$48,  IF(M51=2,$S$48*2,  IF(M51=3,$S$48*3,   0)))</f>
        <v>1200</v>
      </c>
      <c r="P51" s="214">
        <f>IF(N51=1,$T$48,  IF(N51=2,$T$48*2,  IF(N51=3,$T$48*3,  IF(N51=4,$T$48*4,   0))))</f>
        <v>800</v>
      </c>
      <c r="Q51" s="216">
        <f ca="1">IF(H51&gt;=O51,H51,O51)</f>
        <v>1240</v>
      </c>
      <c r="R51" s="216">
        <f ca="1">IF(I51&gt;=P51,I51,P51)</f>
        <v>900</v>
      </c>
      <c r="S51" s="214">
        <f>S48*2+S49*2</f>
        <v>2440</v>
      </c>
      <c r="T51" s="214">
        <f>T48*2+T49*2</f>
        <v>1700</v>
      </c>
      <c r="V51" s="227"/>
      <c r="W51" s="227"/>
      <c r="X51" s="227"/>
      <c r="Y51" s="227"/>
      <c r="Z51" s="202"/>
      <c r="AA51" s="202"/>
    </row>
    <row r="52" spans="1:27" ht="13.2">
      <c r="A52" s="283"/>
      <c r="B52" s="214">
        <f>IF( B51&gt;690,1,0)</f>
        <v>0</v>
      </c>
      <c r="C52" s="214">
        <f>IF(E48=2100,3,IF(E48=1800,5,IF(E48=1250,7,0)))</f>
        <v>3</v>
      </c>
      <c r="D52" s="214">
        <f>IF(E48=2100,3,IF(E48=1800,5,IF(E48=1250,7,0)))</f>
        <v>3</v>
      </c>
      <c r="E52" s="214">
        <f>IF(E48=2100,3,IF(E48=1800,5,IF(E48=1250,7,0)))</f>
        <v>3</v>
      </c>
      <c r="F52" s="214">
        <f>IF(E48=2100,3,IF(E48=1800,5,IF(E48=1250,7,0)))</f>
        <v>3</v>
      </c>
      <c r="H52" s="198"/>
      <c r="I52" s="198"/>
      <c r="J52" s="198"/>
      <c r="S52" s="214">
        <f>S48*3+S49*2</f>
        <v>3640</v>
      </c>
      <c r="T52" s="214">
        <f>T48*3+T49*2</f>
        <v>2500</v>
      </c>
    </row>
    <row r="53" spans="1:27" ht="13.2">
      <c r="A53" s="283"/>
      <c r="B53" s="198"/>
      <c r="C53" s="198"/>
      <c r="D53" s="198"/>
      <c r="E53" s="198"/>
      <c r="F53" s="198"/>
      <c r="H53" s="198"/>
      <c r="I53" s="217"/>
      <c r="J53" s="198"/>
      <c r="S53" s="214">
        <f>S48*4+S49*2</f>
        <v>4840</v>
      </c>
      <c r="T53" s="214">
        <f>T48*4+T49*2</f>
        <v>3300</v>
      </c>
    </row>
    <row r="54" spans="1:27" ht="13.2">
      <c r="A54" s="283"/>
      <c r="B54" s="198"/>
      <c r="C54" s="198"/>
      <c r="D54" s="198"/>
      <c r="E54" s="198"/>
      <c r="F54" s="198"/>
      <c r="H54" s="198"/>
      <c r="I54" s="217"/>
      <c r="J54" s="198"/>
      <c r="S54" s="214"/>
      <c r="T54" s="214">
        <f>T48*5+T49*2</f>
        <v>4100</v>
      </c>
    </row>
    <row r="55" spans="1:27" ht="13.2">
      <c r="B55" s="198"/>
      <c r="C55" s="198"/>
      <c r="D55" s="198"/>
      <c r="E55" s="198"/>
      <c r="F55" s="198"/>
      <c r="H55" s="198"/>
      <c r="I55" s="217"/>
      <c r="J55" s="198"/>
      <c r="S55" s="198"/>
      <c r="T55" s="198"/>
    </row>
    <row r="56" spans="1:27" ht="30.6">
      <c r="A56" s="283">
        <v>7</v>
      </c>
      <c r="B56" s="218" t="str">
        <f>Kalk!B27</f>
        <v xml:space="preserve"> </v>
      </c>
      <c r="C56" s="218" t="s">
        <v>1145</v>
      </c>
      <c r="D56" s="218" t="s">
        <v>1146</v>
      </c>
      <c r="E56" s="218" t="s">
        <v>1147</v>
      </c>
      <c r="F56" s="218" t="s">
        <v>83</v>
      </c>
      <c r="H56" s="284" t="s">
        <v>1148</v>
      </c>
      <c r="I56" s="284"/>
      <c r="J56" s="284"/>
      <c r="S56" s="204" t="s">
        <v>1149</v>
      </c>
      <c r="T56" s="204" t="s">
        <v>1150</v>
      </c>
    </row>
    <row r="57" spans="1:27" ht="17.399999999999999">
      <c r="A57" s="283"/>
      <c r="B57" s="205" t="str">
        <f>Kalk!K28</f>
        <v>B</v>
      </c>
      <c r="C57" s="206" cm="1">
        <f t="array" aca="1" ref="C57" ca="1">IF(OR(B57="E",B57="B",B57="C"),INDIRECT("'"&amp;B58&amp;"'!J75"),IF(OR(B57="EB",B57="BC"),INDIRECT("'"&amp;B58&amp;"'!J77"),""))</f>
        <v>20</v>
      </c>
      <c r="D57" s="207" cm="1">
        <f t="array" aca="1" ref="D57" ca="1">IF(OR(B57="E",B57="B",B57="C"),INDIRECT("'"&amp;B58&amp;"'!K75"),IF(OR(B57="EB",B57="BC"),INDIRECT("'"&amp;B58&amp;"'!K77"),""))</f>
        <v>20</v>
      </c>
      <c r="E57" s="219">
        <f>Kalk!Q28</f>
        <v>2100</v>
      </c>
      <c r="F57" s="207">
        <f>IF(OR(B58="F0110",B58="F0409",B58="F0410",B58="F0422",B58="F0427",B58="F0452"),C59,      IF(OR(B58="F0200",B58="F0201",B58="F0202",B58="F0203",B58="F0200-F0203",B58="F0201-F0203",B58="F0501"),D59,      IF(OR(B58="F0711",B58="F0713"),E59,       IF(B58="F0451",F59,0))))</f>
        <v>300</v>
      </c>
      <c r="H57" s="208">
        <f>IF(AND(Kalk!C28="",Kalk!E28="",Kalk!G28=""),0,   M57)</f>
        <v>0</v>
      </c>
      <c r="I57" s="208">
        <f>IF(AND(Kalk!C28="",Kalk!E28="",Kalk!G28=""),0,   N57)</f>
        <v>0</v>
      </c>
      <c r="J57" s="209">
        <f>Kalk!Q28</f>
        <v>2100</v>
      </c>
      <c r="K57" s="210">
        <f ca="1">IF(AND(M57=Q59,N57=R59), M59*N59,   IF(AND(M57=Q60,N57=R60), M60*N60, 0))</f>
        <v>1</v>
      </c>
      <c r="L57" s="211">
        <f>IF(AND(Kalk!C28="",Kalk!E28="",Kalk!G28=""),0,
   IF(AND(H57=Q59,I57=R59,J59&gt;=J60),J59,J60))</f>
        <v>0</v>
      </c>
      <c r="M57" s="211">
        <f ca="1">IF(J59&gt;J60,Q59,
   IF(AND(J59=J60,Q59*R59&lt;=Q60*R60),Q59,Q60))</f>
        <v>1240</v>
      </c>
      <c r="N57" s="212">
        <f ca="1">IF(AND(M57=Q59,J59&gt;=J60),R59,   IF(OR(P59=0,P60=0), 0,  R60))</f>
        <v>900</v>
      </c>
      <c r="Q57" s="213">
        <f>Kalk!S30</f>
        <v>1240</v>
      </c>
      <c r="R57" s="213">
        <f>Kalk!T30</f>
        <v>900</v>
      </c>
      <c r="S57" s="214">
        <f>Kalk!S28</f>
        <v>1200</v>
      </c>
      <c r="T57" s="214">
        <f>Kalk!T28</f>
        <v>800</v>
      </c>
    </row>
    <row r="58" spans="1:27" ht="13.2">
      <c r="A58" s="283"/>
      <c r="B58" s="205" t="str">
        <f>Kalk!B28</f>
        <v>F0201</v>
      </c>
      <c r="C58" s="214" t="s">
        <v>1155</v>
      </c>
      <c r="D58" s="214" t="s">
        <v>1156</v>
      </c>
      <c r="E58" s="214" t="s">
        <v>1157</v>
      </c>
      <c r="F58" s="214" t="s">
        <v>1158</v>
      </c>
      <c r="H58" s="282" t="s">
        <v>1159</v>
      </c>
      <c r="I58" s="282"/>
      <c r="J58" s="203" t="s">
        <v>83</v>
      </c>
      <c r="K58" s="282" t="s">
        <v>46</v>
      </c>
      <c r="L58" s="282"/>
      <c r="M58" s="285" t="s">
        <v>1160</v>
      </c>
      <c r="N58" s="285"/>
      <c r="O58" s="282" t="s">
        <v>1161</v>
      </c>
      <c r="P58" s="282"/>
      <c r="Q58" s="282" t="s">
        <v>1162</v>
      </c>
      <c r="R58" s="282"/>
      <c r="S58" s="214">
        <f>Kalk!S29</f>
        <v>20</v>
      </c>
      <c r="T58" s="214">
        <f>Kalk!T29</f>
        <v>50</v>
      </c>
    </row>
    <row r="59" spans="1:27" ht="13.2">
      <c r="A59" s="283"/>
      <c r="B59" s="203" t="s">
        <v>1163</v>
      </c>
      <c r="C59" s="214">
        <f>IF(SUM(C60:C61)=4,VLOOKUP(Kalk!K28,Pakowanie!$V$2:$AH$8,5,0),   IF(SUM(C60:C61)=6,VLOOKUP(Kalk!K28,Pakowanie!$V$2:$AH$8,6,0),    IF(SUM(C60:C61)=8,VLOOKUP(Kalk!K28,Pakowanie!$V$2:$AH$8,7,0),0)))</f>
        <v>0</v>
      </c>
      <c r="D59" s="214">
        <f>IF(SUM(D60:D61)=14,W9,    IF(SUM(D60:D61)=16,X9,       IF(SUM(D60:D61)=18,Y9,     IF(SUM(D60:D61)=4,VLOOKUP(Kalk!K28,Pakowanie!$V$2:$AH$8,2,0),   IF(SUM(D60:D61)=6,VLOOKUP(Kalk!K28,Pakowanie!$V$2:$AH$8,3,0),    IF(SUM(D60:D61)=8,VLOOKUP(Kalk!K28,Pakowanie!$V$2:$AH$8,4,0),0))))))</f>
        <v>300</v>
      </c>
      <c r="E59" s="214">
        <f>IF(SUM(E60:E61)=4,VLOOKUP(Kalk!K28,Pakowanie!$V$2:$AH$8,8,0),   IF(SUM(E60:E61)=6,VLOOKUP(Kalk!K28,Pakowanie!$V$2:$AH$8,9,0),    IF(SUM(E60:E61)=8,VLOOKUP(Kalk!K28,Pakowanie!$V$2:$AH$8,10,0),0)))</f>
        <v>0</v>
      </c>
      <c r="F59" s="214">
        <f>IF(SUM(F60:F61)=4,VLOOKUP(Kalk!K28,Pakowanie!$V$2:$AH$8,11,0),   IF(SUM(F60:F61)=6,VLOOKUP(Kalk!K28,Pakowanie!$V$2:$AH$8,12,0),    IF(SUM(F60:F61)=8,VLOOKUP(Kalk!K28,Pakowanie!$V$2:$AH$8,13,0),0)))</f>
        <v>0</v>
      </c>
      <c r="H59" s="214">
        <f ca="1">PRODUCT(C57,K59)</f>
        <v>1240</v>
      </c>
      <c r="I59" s="214">
        <f ca="1">PRODUCT(D57,L59)</f>
        <v>900</v>
      </c>
      <c r="J59" s="213">
        <f ca="1">PRODUCT(K59:L59,F57)</f>
        <v>837000</v>
      </c>
      <c r="K59" s="214">
        <f ca="1">IF((S59/C57)&lt;=1,0,ROUNDDOWN(S59/C57,0))</f>
        <v>62</v>
      </c>
      <c r="L59" s="214">
        <f ca="1">IF((T59/D57)&lt;=1,0,ROUNDDOWN(T59/D57,0))</f>
        <v>45</v>
      </c>
      <c r="M59" s="214">
        <v>1</v>
      </c>
      <c r="N59" s="214">
        <v>1</v>
      </c>
      <c r="O59" s="214">
        <f>IF(M59=1,$S$57,  IF(M59=2,$S$57*2,  IF(M59=3,$S$57*3,   0)))</f>
        <v>1200</v>
      </c>
      <c r="P59" s="214">
        <f>IF(N59=1,$T$57,  IF(N59=2,$T$57*2,  IF(N59=3,$T$57*3,  IF(N59=4,$T$57*4,   0))))</f>
        <v>800</v>
      </c>
      <c r="Q59" s="216">
        <f ca="1">IF(H59&gt;=O59,H59,O59)</f>
        <v>1240</v>
      </c>
      <c r="R59" s="216">
        <f ca="1">IF(I59&gt;=P59,I59,P59)</f>
        <v>900</v>
      </c>
      <c r="S59" s="214">
        <f>S57+S58*2</f>
        <v>1240</v>
      </c>
      <c r="T59" s="214">
        <f>T57+T58*2</f>
        <v>900</v>
      </c>
    </row>
    <row r="60" spans="1:27" ht="13.2">
      <c r="A60" s="283"/>
      <c r="B60" s="205">
        <f>Kalk!L28</f>
        <v>274</v>
      </c>
      <c r="C60" s="214">
        <f>IF(OR(B58="F0110",B58="F0409",B58="F0410",B58="F0422",B58="F0427",B58="F0452"),1,0)</f>
        <v>0</v>
      </c>
      <c r="D60" s="214">
        <v>1</v>
      </c>
      <c r="E60" s="214">
        <f>IF(OR(B58="F0711",B58="F0713"),1,0)</f>
        <v>0</v>
      </c>
      <c r="F60" s="214">
        <f>IF(B58="F0451",1,0)</f>
        <v>0</v>
      </c>
      <c r="H60" s="214">
        <f ca="1">PRODUCT(D57,K60)</f>
        <v>1240</v>
      </c>
      <c r="I60" s="214">
        <f ca="1">PRODUCT(C57,L60)</f>
        <v>900</v>
      </c>
      <c r="J60" s="213">
        <f ca="1">PRODUCT(K60:L60,F57)</f>
        <v>837000</v>
      </c>
      <c r="K60" s="214">
        <f ca="1">IF((S59/D57)&lt;=1,0,ROUNDDOWN(S59/D57,0))</f>
        <v>62</v>
      </c>
      <c r="L60" s="214">
        <f ca="1">IF((T59/C57)&lt;=1,0,ROUNDDOWN(T59/C57,0))</f>
        <v>45</v>
      </c>
      <c r="M60" s="214">
        <v>1</v>
      </c>
      <c r="N60" s="214">
        <v>1</v>
      </c>
      <c r="O60" s="214">
        <f>IF(M60=1,$S$57,  IF(M60=2,$S$57*2,  IF(M60=3,$S$57*3,   0)))</f>
        <v>1200</v>
      </c>
      <c r="P60" s="214">
        <f>IF(N60=1,$T$57,  IF(N60=2,$T$57*2,  IF(N60=3,$T$57*3,  IF(N60=4,$T$57*4,   0))))</f>
        <v>800</v>
      </c>
      <c r="Q60" s="216">
        <f ca="1">IF(H60&gt;=O60,H60,O60)</f>
        <v>1240</v>
      </c>
      <c r="R60" s="216">
        <f ca="1">IF(I60&gt;=P60,I60,P60)</f>
        <v>900</v>
      </c>
      <c r="S60" s="214">
        <f>S57*2+S58*2</f>
        <v>2440</v>
      </c>
      <c r="T60" s="214">
        <f>T57*2+T58*2</f>
        <v>1700</v>
      </c>
    </row>
    <row r="61" spans="1:27" ht="13.2">
      <c r="A61" s="283"/>
      <c r="B61" s="214">
        <f>IF( B60&gt;690,1,0)</f>
        <v>0</v>
      </c>
      <c r="C61" s="214">
        <f>IF(E57=2100,3,IF(E57=1800,5,IF(E57=1250,7,0)))</f>
        <v>3</v>
      </c>
      <c r="D61" s="214">
        <f>IF(E57=2100,3,IF(E57=1800,5,IF(E57=1250,7,0)))</f>
        <v>3</v>
      </c>
      <c r="E61" s="214">
        <f>IF(E57=2100,3,IF(E57=1800,5,IF(E57=1250,7,0)))</f>
        <v>3</v>
      </c>
      <c r="F61" s="214">
        <f>IF(E57=2100,3,IF(E57=1800,5,IF(E57=1250,7,0)))</f>
        <v>3</v>
      </c>
      <c r="H61" s="198"/>
      <c r="I61" s="198"/>
      <c r="J61" s="198"/>
      <c r="S61" s="214">
        <f>S57*3+S58*2</f>
        <v>3640</v>
      </c>
      <c r="T61" s="214">
        <f>T57*3+T58*2</f>
        <v>2500</v>
      </c>
    </row>
    <row r="62" spans="1:27" ht="13.2">
      <c r="A62" s="283"/>
      <c r="B62" s="198"/>
      <c r="C62" s="198"/>
      <c r="D62" s="198"/>
      <c r="E62" s="198"/>
      <c r="F62" s="198"/>
      <c r="H62" s="198"/>
      <c r="I62" s="217"/>
      <c r="J62" s="198"/>
      <c r="S62" s="214">
        <f>S57*4+S58*2</f>
        <v>4840</v>
      </c>
      <c r="T62" s="214">
        <f>T57*4+T58*2</f>
        <v>3300</v>
      </c>
    </row>
    <row r="63" spans="1:27" ht="13.2">
      <c r="A63" s="283"/>
      <c r="B63" s="198"/>
      <c r="C63" s="198"/>
      <c r="D63" s="198"/>
      <c r="E63" s="198"/>
      <c r="F63" s="198"/>
      <c r="H63" s="198"/>
      <c r="I63" s="217"/>
      <c r="J63" s="198"/>
      <c r="S63" s="214"/>
      <c r="T63" s="214">
        <f>T57*5+T58*2</f>
        <v>4100</v>
      </c>
    </row>
    <row r="64" spans="1:27" ht="13.2">
      <c r="B64" s="198"/>
      <c r="C64" s="198"/>
      <c r="D64" s="198"/>
      <c r="E64" s="198"/>
      <c r="F64" s="198"/>
      <c r="H64" s="198"/>
      <c r="I64" s="217"/>
      <c r="J64" s="198"/>
      <c r="S64" s="198"/>
      <c r="T64" s="198"/>
    </row>
    <row r="65" spans="1:20" ht="30.6">
      <c r="A65" s="283">
        <v>8</v>
      </c>
      <c r="B65" s="218" t="str">
        <f>Kalk!B31</f>
        <v xml:space="preserve"> </v>
      </c>
      <c r="C65" s="218" t="s">
        <v>1145</v>
      </c>
      <c r="D65" s="218" t="s">
        <v>1146</v>
      </c>
      <c r="E65" s="218" t="s">
        <v>1147</v>
      </c>
      <c r="F65" s="218" t="s">
        <v>83</v>
      </c>
      <c r="H65" s="284" t="s">
        <v>1148</v>
      </c>
      <c r="I65" s="284"/>
      <c r="J65" s="284"/>
      <c r="S65" s="204" t="s">
        <v>1149</v>
      </c>
      <c r="T65" s="204" t="s">
        <v>1150</v>
      </c>
    </row>
    <row r="66" spans="1:20" ht="17.399999999999999">
      <c r="A66" s="283"/>
      <c r="B66" s="205" t="str">
        <f>Kalk!K32</f>
        <v>B</v>
      </c>
      <c r="C66" s="206" cm="1">
        <f t="array" aca="1" ref="C66" ca="1">IF(OR(B66="E",B66="B",B66="C"),INDIRECT("'"&amp;B67&amp;"'!J87"),IF(OR(B66="EB",B66="BC"),INDIRECT("'"&amp;B67&amp;"'!J89"),""))</f>
        <v>20</v>
      </c>
      <c r="D66" s="207" cm="1">
        <f t="array" aca="1" ref="D66" ca="1">IF(OR(B66="E",B66="B",B66="C"),INDIRECT("'"&amp;B67&amp;"'!K87"),IF(OR(B66="EB",B66="BC"),INDIRECT("'"&amp;B67&amp;"'!K89"),""))</f>
        <v>20</v>
      </c>
      <c r="E66" s="219">
        <f>Kalk!Q32</f>
        <v>2100</v>
      </c>
      <c r="F66" s="207">
        <f>IF(OR(B67="F0110",B67="F0409",B67="F0410",B67="F0422",B67="F0427",B67="F0452"),C68,      IF(OR(B67="F0200",B67="F0201",B67="F0202",B67="F0203",B67="F0200-F0203",B67="F0201-F0203",B67="F0501"),D68,      IF(OR(B67="F0711",B67="F0713"),E68,       IF(B67="F0451",F68,0))))</f>
        <v>300</v>
      </c>
      <c r="H66" s="208">
        <f>IF(AND(Kalk!C32="",Kalk!E32="",Kalk!G32=""),0,   M66)</f>
        <v>0</v>
      </c>
      <c r="I66" s="208">
        <f>IF(AND(Kalk!C32="",Kalk!E32="",Kalk!G32=""),0,   N66)</f>
        <v>0</v>
      </c>
      <c r="J66" s="209">
        <f>Kalk!Q32</f>
        <v>2100</v>
      </c>
      <c r="K66" s="210">
        <f ca="1">IF(AND(M66=Q68,N66=R68), M68*N68,   IF(AND(M66=Q69,N66=R69), M69*N69, 0))</f>
        <v>1</v>
      </c>
      <c r="L66" s="211">
        <f>IF(AND(Kalk!C32="",Kalk!E32="",Kalk!G32=""),0,
   IF(AND(H66=Q68,I66=R68,J68&gt;=J69),J68,J69))</f>
        <v>0</v>
      </c>
      <c r="M66" s="211">
        <f ca="1">IF(J68&gt;J69,Q68,
   IF(AND(J68=J69,Q68*R68&lt;=Q69*R69),Q68,Q69))</f>
        <v>1240</v>
      </c>
      <c r="N66" s="212">
        <f ca="1">IF(AND(M66=Q68,J68&gt;=J69),R68,   IF(OR(P68=0,P69=0), 0,  R69))</f>
        <v>900</v>
      </c>
      <c r="Q66" s="213">
        <f>Kalk!S34</f>
        <v>1240</v>
      </c>
      <c r="R66" s="213">
        <f>Kalk!T34</f>
        <v>900</v>
      </c>
      <c r="S66" s="214">
        <f>Kalk!S32</f>
        <v>1200</v>
      </c>
      <c r="T66" s="214">
        <f>Kalk!T32</f>
        <v>800</v>
      </c>
    </row>
    <row r="67" spans="1:20" ht="13.2">
      <c r="A67" s="283"/>
      <c r="B67" s="205" t="str">
        <f>Kalk!B32</f>
        <v>F0201</v>
      </c>
      <c r="C67" s="214" t="s">
        <v>1155</v>
      </c>
      <c r="D67" s="214" t="s">
        <v>1156</v>
      </c>
      <c r="E67" s="214" t="s">
        <v>1157</v>
      </c>
      <c r="F67" s="214" t="s">
        <v>1158</v>
      </c>
      <c r="H67" s="282" t="s">
        <v>1159</v>
      </c>
      <c r="I67" s="282"/>
      <c r="J67" s="203" t="s">
        <v>83</v>
      </c>
      <c r="K67" s="282" t="s">
        <v>46</v>
      </c>
      <c r="L67" s="282"/>
      <c r="M67" s="285" t="s">
        <v>1160</v>
      </c>
      <c r="N67" s="285"/>
      <c r="O67" s="282" t="s">
        <v>1161</v>
      </c>
      <c r="P67" s="282"/>
      <c r="Q67" s="282" t="s">
        <v>1162</v>
      </c>
      <c r="R67" s="282"/>
      <c r="S67" s="214">
        <f>Kalk!S33</f>
        <v>20</v>
      </c>
      <c r="T67" s="214">
        <f>Kalk!T33</f>
        <v>50</v>
      </c>
    </row>
    <row r="68" spans="1:20" ht="13.2">
      <c r="A68" s="283"/>
      <c r="B68" s="203" t="s">
        <v>1163</v>
      </c>
      <c r="C68" s="214">
        <f>IF(SUM(C69:C70)=4,VLOOKUP(Kalk!K32,Pakowanie!$V$2:$AH$8,5,0),   IF(SUM(C69:C70)=6,VLOOKUP(Kalk!K32,Pakowanie!$V$2:$AH$8,6,0),    IF(SUM(C69:C70)=8,VLOOKUP(Kalk!K32,Pakowanie!$V$2:$AH$8,7,0),0)))</f>
        <v>0</v>
      </c>
      <c r="D68" s="214">
        <f>IF(SUM(D69:D70)=14,W9,    IF(SUM(D69:D70)=16,X9,       IF(SUM(D69:D70)=18,Y9,     IF(SUM(D69:D70)=4,VLOOKUP(Kalk!K32,Pakowanie!$V$2:$AH$8,2,0),   IF(SUM(D69:D70)=6,VLOOKUP(Kalk!K32,Pakowanie!$V$2:$AH$8,3,0),    IF(SUM(D69:D70)=8,VLOOKUP(Kalk!K32,Pakowanie!$V$2:$AH$8,4,0),0))))))</f>
        <v>300</v>
      </c>
      <c r="E68" s="214">
        <f>IF(SUM(E69:E70)=4,VLOOKUP(Kalk!K32,Pakowanie!$V$2:$AH$8,8,0),   IF(SUM(E69:E70)=6,VLOOKUP(Kalk!K32,Pakowanie!$V$2:$AH$8,9,0),    IF(SUM(E69:E70)=8,VLOOKUP(Kalk!K32,Pakowanie!$V$2:$AH$8,10,0),0)))</f>
        <v>0</v>
      </c>
      <c r="F68" s="214">
        <f>IF(SUM(F69:F70)=4,VLOOKUP(Kalk!K32,Pakowanie!$V$2:$AH$8,11,0),   IF(SUM(F69:F70)=6,VLOOKUP(Kalk!K32,Pakowanie!$V$2:$AH$8,12,0),    IF(SUM(F69:F70)=8,VLOOKUP(Kalk!K32,Pakowanie!$V$2:$AH$8,13,0),0)))</f>
        <v>0</v>
      </c>
      <c r="H68" s="214">
        <f ca="1">PRODUCT(C66,K68)</f>
        <v>1240</v>
      </c>
      <c r="I68" s="214">
        <f ca="1">PRODUCT(D66,L68)</f>
        <v>900</v>
      </c>
      <c r="J68" s="213">
        <f ca="1">PRODUCT(K68:L68,F66)</f>
        <v>837000</v>
      </c>
      <c r="K68" s="214">
        <f ca="1">IF((S68/C66)&lt;=1,0,ROUNDDOWN(S68/C66,0))</f>
        <v>62</v>
      </c>
      <c r="L68" s="214">
        <f ca="1">IF((T68/D66)&lt;=1,0,ROUNDDOWN(T68/D66,0))</f>
        <v>45</v>
      </c>
      <c r="M68" s="214">
        <v>1</v>
      </c>
      <c r="N68" s="214">
        <v>1</v>
      </c>
      <c r="O68" s="214">
        <f>IF(M68=1,$S$66,  IF(M68=2,$S$66*2,  IF(M68=3,$S$66*3,   0)))</f>
        <v>1200</v>
      </c>
      <c r="P68" s="214">
        <f>IF(N68=1,$T$66,  IF(N68=2,$T$66*2,  IF(N68=3,$T$66*3,  IF(N68=4,$T$66*4,   0))))</f>
        <v>800</v>
      </c>
      <c r="Q68" s="216">
        <f ca="1">IF(H68&gt;=O68,H68,O68)</f>
        <v>1240</v>
      </c>
      <c r="R68" s="216">
        <f ca="1">IF(I68&gt;=P68,I68,P68)</f>
        <v>900</v>
      </c>
      <c r="S68" s="214">
        <f>S66+S67*2</f>
        <v>1240</v>
      </c>
      <c r="T68" s="214">
        <f>T66+T67*2</f>
        <v>900</v>
      </c>
    </row>
    <row r="69" spans="1:20" ht="13.2">
      <c r="A69" s="283"/>
      <c r="B69" s="205">
        <f>Kalk!L32</f>
        <v>274</v>
      </c>
      <c r="C69" s="214">
        <f>IF(OR(B67="F0110",B67="F0409",B67="F0410",B67="F0422",B67="F0427",B67="F0452"),1,0)</f>
        <v>0</v>
      </c>
      <c r="D69" s="214">
        <v>1</v>
      </c>
      <c r="E69" s="214">
        <f>IF(OR(B67="F0711",B67="F0713"),1,0)</f>
        <v>0</v>
      </c>
      <c r="F69" s="214">
        <f>IF(B67="F0451",1,0)</f>
        <v>0</v>
      </c>
      <c r="H69" s="214">
        <f ca="1">PRODUCT(D66,K69)</f>
        <v>1240</v>
      </c>
      <c r="I69" s="214">
        <f ca="1">PRODUCT(C66,L69)</f>
        <v>900</v>
      </c>
      <c r="J69" s="213">
        <f ca="1">PRODUCT(K69:L69,F66)</f>
        <v>837000</v>
      </c>
      <c r="K69" s="214">
        <f ca="1">IF((S68/D66)&lt;=1,0,ROUNDDOWN(S68/D66,0))</f>
        <v>62</v>
      </c>
      <c r="L69" s="214">
        <f ca="1">IF((T68/C66)&lt;=1,0,ROUNDDOWN(T68/C66,0))</f>
        <v>45</v>
      </c>
      <c r="M69" s="214">
        <v>1</v>
      </c>
      <c r="N69" s="214">
        <v>1</v>
      </c>
      <c r="O69" s="214">
        <f>IF(M69=1,$S$66,  IF(M69=2,$S$66*2,  IF(M69=3,$S$66*3,   0)))</f>
        <v>1200</v>
      </c>
      <c r="P69" s="214">
        <f>IF(N69=1,$T$66,  IF(N69=2,$T$66*2,  IF(N69=3,$T$66*3,  IF(N69=4,$T$66*4,   0))))</f>
        <v>800</v>
      </c>
      <c r="Q69" s="216">
        <f ca="1">IF(H69&gt;=O69,H69,O69)</f>
        <v>1240</v>
      </c>
      <c r="R69" s="216">
        <f ca="1">IF(I69&gt;=P69,I69,P69)</f>
        <v>900</v>
      </c>
      <c r="S69" s="214">
        <f>S66*2+S67*2</f>
        <v>2440</v>
      </c>
      <c r="T69" s="214">
        <f>T66*2+T67*2</f>
        <v>1700</v>
      </c>
    </row>
    <row r="70" spans="1:20" ht="13.2">
      <c r="A70" s="283"/>
      <c r="B70" s="214">
        <f>IF( B69&gt;690,1,0)</f>
        <v>0</v>
      </c>
      <c r="C70" s="214">
        <f>IF(E66=2100,3,IF(E66=1800,5,IF(E66=1250,7,0)))</f>
        <v>3</v>
      </c>
      <c r="D70" s="214">
        <f>IF(E66=2100,3,IF(E66=1800,5,IF(E66=1250,7,0)))</f>
        <v>3</v>
      </c>
      <c r="E70" s="214">
        <f>IF(E66=2100,3,IF(E66=1800,5,IF(E66=1250,7,0)))</f>
        <v>3</v>
      </c>
      <c r="F70" s="214">
        <f>IF(E66=2100,3,IF(E66=1800,5,IF(E66=1250,7,0)))</f>
        <v>3</v>
      </c>
      <c r="H70" s="198"/>
      <c r="I70" s="198"/>
      <c r="J70" s="198"/>
      <c r="S70" s="214">
        <f>S66*3+S67*2</f>
        <v>3640</v>
      </c>
      <c r="T70" s="214">
        <f>T66*3+T67*2</f>
        <v>2500</v>
      </c>
    </row>
    <row r="71" spans="1:20" ht="13.2">
      <c r="A71" s="283"/>
      <c r="B71" s="198"/>
      <c r="C71" s="198"/>
      <c r="D71" s="198"/>
      <c r="E71" s="198"/>
      <c r="F71" s="198"/>
      <c r="H71" s="198"/>
      <c r="I71" s="217"/>
      <c r="J71" s="198"/>
      <c r="S71" s="214">
        <f>S66*4+S67*2</f>
        <v>4840</v>
      </c>
      <c r="T71" s="214">
        <f>T66*4+T67*2</f>
        <v>3300</v>
      </c>
    </row>
    <row r="72" spans="1:20" ht="13.2">
      <c r="A72" s="283"/>
      <c r="B72" s="198"/>
      <c r="C72" s="198"/>
      <c r="D72" s="198"/>
      <c r="E72" s="198"/>
      <c r="F72" s="198"/>
      <c r="H72" s="198"/>
      <c r="I72" s="217"/>
      <c r="J72" s="198"/>
      <c r="S72" s="214"/>
      <c r="T72" s="214">
        <f>T66*5+T67*2</f>
        <v>4100</v>
      </c>
    </row>
    <row r="73" spans="1:20" ht="13.2">
      <c r="B73" s="198"/>
      <c r="C73" s="198"/>
      <c r="D73" s="198"/>
      <c r="E73" s="198"/>
      <c r="F73" s="198"/>
      <c r="H73" s="198"/>
      <c r="I73" s="217"/>
      <c r="J73" s="198"/>
      <c r="S73" s="198"/>
      <c r="T73" s="198"/>
    </row>
    <row r="74" spans="1:20" ht="30.6">
      <c r="A74" s="283">
        <v>9</v>
      </c>
      <c r="B74" s="218" t="str">
        <f>Kalk!B35</f>
        <v xml:space="preserve"> </v>
      </c>
      <c r="C74" s="218" t="s">
        <v>1145</v>
      </c>
      <c r="D74" s="218" t="s">
        <v>1146</v>
      </c>
      <c r="E74" s="218" t="s">
        <v>1147</v>
      </c>
      <c r="F74" s="218" t="s">
        <v>83</v>
      </c>
      <c r="H74" s="284" t="s">
        <v>1148</v>
      </c>
      <c r="I74" s="284"/>
      <c r="J74" s="284"/>
      <c r="S74" s="204" t="s">
        <v>1149</v>
      </c>
      <c r="T74" s="204" t="s">
        <v>1150</v>
      </c>
    </row>
    <row r="75" spans="1:20" ht="17.399999999999999">
      <c r="A75" s="283"/>
      <c r="B75" s="205" t="str">
        <f>Kalk!K36</f>
        <v>B</v>
      </c>
      <c r="C75" s="206" cm="1">
        <f t="array" aca="1" ref="C75" ca="1">IF(OR(B75="E",B75="B",B75="C"),INDIRECT("'"&amp;B76&amp;"'!J99"),IF(OR(B75="EB",B75="BC"),INDIRECT("'"&amp;B76&amp;"'!J101"),""))</f>
        <v>20</v>
      </c>
      <c r="D75" s="207" cm="1">
        <f t="array" aca="1" ref="D75" ca="1">IF(OR(B75="E",B75="B",B75="C"),INDIRECT("'"&amp;B76&amp;"'!K99"),IF(OR(B75="EB",B75="BC"),INDIRECT("'"&amp;B76&amp;"'!K101"),""))</f>
        <v>20</v>
      </c>
      <c r="E75" s="219">
        <f>Kalk!Q36</f>
        <v>2100</v>
      </c>
      <c r="F75" s="207">
        <f>IF(OR(B76="F0110",B76="F0409",B76="F0410",B76="F0422",B76="F0427",B76="F0452"),C77,      IF(OR(B76="F0200",B76="F0201",B76="F0202",B76="F0203",B76="F0200-F0203",B76="F0201-F0203",B76="F0501"),D77,      IF(OR(B76="F0711",B76="F0713"),E77,       IF(B76="F0451",F77,0))))</f>
        <v>300</v>
      </c>
      <c r="H75" s="208">
        <f>IF(AND(Kalk!C36="",Kalk!E36="",Kalk!G36=""),0,   M75)</f>
        <v>0</v>
      </c>
      <c r="I75" s="208">
        <f>IF(AND(Kalk!C36="",Kalk!E36="",Kalk!G36=""),0,   N75)</f>
        <v>0</v>
      </c>
      <c r="J75" s="209">
        <f>Kalk!Q36</f>
        <v>2100</v>
      </c>
      <c r="K75" s="210">
        <f ca="1">IF(AND(M75=Q77,N75=R77), M77*N77,   IF(AND(M75=Q78,N75=R78), M78*N78, 0))</f>
        <v>1</v>
      </c>
      <c r="L75" s="211">
        <f>IF(AND(Kalk!C36="",Kalk!E36="",Kalk!G36=""),0,
   IF(AND(H75=Q77,I75=R77,J77&gt;=J78),J77,J78))</f>
        <v>0</v>
      </c>
      <c r="M75" s="211">
        <f ca="1">IF(J77&gt;J78,Q77,
   IF(AND(J77=J78,Q77*R77&lt;=Q78*R78),Q77,Q78))</f>
        <v>1240</v>
      </c>
      <c r="N75" s="212">
        <f ca="1">IF(AND(M75=Q77,J77&gt;=J78),R77,   IF(OR(P77=0,P78=0), 0,  R78))</f>
        <v>900</v>
      </c>
      <c r="Q75" s="213">
        <f>Kalk!S38</f>
        <v>1240</v>
      </c>
      <c r="R75" s="213">
        <f>Kalk!T38</f>
        <v>900</v>
      </c>
      <c r="S75" s="214">
        <f>Kalk!S36</f>
        <v>1200</v>
      </c>
      <c r="T75" s="214">
        <f>Kalk!T36</f>
        <v>800</v>
      </c>
    </row>
    <row r="76" spans="1:20" ht="13.2">
      <c r="A76" s="283"/>
      <c r="B76" s="205" t="str">
        <f>Kalk!B36</f>
        <v>F0201</v>
      </c>
      <c r="C76" s="214" t="s">
        <v>1155</v>
      </c>
      <c r="D76" s="214" t="s">
        <v>1156</v>
      </c>
      <c r="E76" s="214" t="s">
        <v>1157</v>
      </c>
      <c r="F76" s="214" t="s">
        <v>1158</v>
      </c>
      <c r="H76" s="282" t="s">
        <v>1159</v>
      </c>
      <c r="I76" s="282"/>
      <c r="J76" s="203" t="s">
        <v>83</v>
      </c>
      <c r="K76" s="282" t="s">
        <v>46</v>
      </c>
      <c r="L76" s="282"/>
      <c r="M76" s="285" t="s">
        <v>1160</v>
      </c>
      <c r="N76" s="285"/>
      <c r="O76" s="282" t="s">
        <v>1161</v>
      </c>
      <c r="P76" s="282"/>
      <c r="Q76" s="282" t="s">
        <v>1162</v>
      </c>
      <c r="R76" s="282"/>
      <c r="S76" s="214">
        <f>Kalk!S37</f>
        <v>20</v>
      </c>
      <c r="T76" s="214">
        <f>Kalk!T37</f>
        <v>50</v>
      </c>
    </row>
    <row r="77" spans="1:20" ht="13.2">
      <c r="A77" s="283"/>
      <c r="B77" s="203" t="s">
        <v>1163</v>
      </c>
      <c r="C77" s="214">
        <f>IF(SUM(C78:C79)=4,VLOOKUP(Kalk!K36,Pakowanie!$V$2:$AH$8,5,0),   IF(SUM(C78:C79)=6,VLOOKUP(Kalk!K36,Pakowanie!$V$2:$AH$8,6,0),    IF(SUM(C78:C79)=8,VLOOKUP(Kalk!K36,Pakowanie!$V$2:$AH$8,7,0),0)))</f>
        <v>0</v>
      </c>
      <c r="D77" s="214">
        <f>IF(SUM(D78:D79)=14,W9,    IF(SUM(D78:D79)=16,X9,       IF(SUM(D78:D79)=18,Y9,     IF(SUM(D78:D79)=4,VLOOKUP(Kalk!K36,Pakowanie!$V$2:$AH$8,2,0),   IF(SUM(D78:D79)=6,VLOOKUP(Kalk!K36,Pakowanie!$V$2:$AH$8,3,0),    IF(SUM(D78:D79)=8,VLOOKUP(Kalk!K36,Pakowanie!$V$2:$AH$8,4,0),0))))))</f>
        <v>300</v>
      </c>
      <c r="E77" s="214">
        <f>IF(SUM(E78:E79)=4,VLOOKUP(Kalk!K36,Pakowanie!$V$2:$AH$8,8,0),   IF(SUM(E78:E79)=6,VLOOKUP(Kalk!K36,Pakowanie!$V$2:$AH$8,9,0),    IF(SUM(E78:E79)=8,VLOOKUP(Kalk!K36,Pakowanie!$V$2:$AH$8,10,0),0)))</f>
        <v>0</v>
      </c>
      <c r="F77" s="214">
        <f>IF(SUM(F78:F79)=4,VLOOKUP(Kalk!K36,Pakowanie!$V$2:$AH$8,11,0),   IF(SUM(F78:F79)=6,VLOOKUP(Kalk!K36,Pakowanie!$V$2:$AH$8,12,0),    IF(SUM(F78:F79)=8,VLOOKUP(Kalk!K36,Pakowanie!$V$2:$AH$8,13,0),0)))</f>
        <v>0</v>
      </c>
      <c r="H77" s="214">
        <f ca="1">PRODUCT(C75,K77)</f>
        <v>1240</v>
      </c>
      <c r="I77" s="214">
        <f ca="1">PRODUCT(D75,L77)</f>
        <v>900</v>
      </c>
      <c r="J77" s="213">
        <f ca="1">PRODUCT(K77:L77,F75)</f>
        <v>837000</v>
      </c>
      <c r="K77" s="214">
        <f ca="1">IF((S77/C75)&lt;=1,0,ROUNDDOWN(S77/C75,0))</f>
        <v>62</v>
      </c>
      <c r="L77" s="214">
        <f ca="1">IF((T77/D75)&lt;=1,0,ROUNDDOWN(T77/D75,0))</f>
        <v>45</v>
      </c>
      <c r="M77" s="214">
        <v>1</v>
      </c>
      <c r="N77" s="214">
        <v>1</v>
      </c>
      <c r="O77" s="214">
        <f>IF(M77=1,$S$75,  IF(M77=2,$S$75*2,  IF(M77=3,$S$75*3,   0)))</f>
        <v>1200</v>
      </c>
      <c r="P77" s="214">
        <f>IF(N77=1,$T$75,  IF(N77=2,$T$75*2,  IF(N77=3,$T$75*3,  IF(N77=4,$T$75*4,   0))))</f>
        <v>800</v>
      </c>
      <c r="Q77" s="216">
        <f ca="1">IF(H77&gt;=O77,H77,O77)</f>
        <v>1240</v>
      </c>
      <c r="R77" s="216">
        <f ca="1">IF(I77&gt;=P77,I77,P77)</f>
        <v>900</v>
      </c>
      <c r="S77" s="214">
        <f>S75+S76*2</f>
        <v>1240</v>
      </c>
      <c r="T77" s="214">
        <f>T75+T76*2</f>
        <v>900</v>
      </c>
    </row>
    <row r="78" spans="1:20" ht="13.2">
      <c r="A78" s="283"/>
      <c r="B78" s="205">
        <f>Kalk!L36</f>
        <v>274</v>
      </c>
      <c r="C78" s="214">
        <f>IF(OR(B76="F0110",B76="F0409",B76="F0410",B76="F0422",B76="F0427",B76="F0452"),1,0)</f>
        <v>0</v>
      </c>
      <c r="D78" s="214">
        <v>1</v>
      </c>
      <c r="E78" s="214">
        <f>IF(OR(B76="F0711",B76="F0713"),1,0)</f>
        <v>0</v>
      </c>
      <c r="F78" s="214">
        <f>IF(B76="F0451",1,0)</f>
        <v>0</v>
      </c>
      <c r="H78" s="214">
        <f ca="1">PRODUCT(D75,K78)</f>
        <v>1240</v>
      </c>
      <c r="I78" s="214">
        <f ca="1">PRODUCT(C75,L78)</f>
        <v>900</v>
      </c>
      <c r="J78" s="213">
        <f ca="1">PRODUCT(K78:L78,F75)</f>
        <v>837000</v>
      </c>
      <c r="K78" s="214">
        <f ca="1">IF((S77/D75)&lt;=1,0,ROUNDDOWN(S77/D75,0))</f>
        <v>62</v>
      </c>
      <c r="L78" s="214">
        <f ca="1">IF((T77/C75)&lt;=1,0,ROUNDDOWN(T77/C75,0))</f>
        <v>45</v>
      </c>
      <c r="M78" s="214">
        <v>1</v>
      </c>
      <c r="N78" s="214">
        <v>1</v>
      </c>
      <c r="O78" s="214">
        <f>IF(M78=1,$S$75,  IF(M78=2,$S$75*2,  IF(M78=3,$S$75*3,   0)))</f>
        <v>1200</v>
      </c>
      <c r="P78" s="214">
        <f>IF(N78=1,$T$75,  IF(N78=2,$T$75*2,  IF(N78=3,$T$75*3,  IF(N78=4,$T$75*4,   0))))</f>
        <v>800</v>
      </c>
      <c r="Q78" s="216">
        <f ca="1">IF(H78&gt;=O78,H78,O78)</f>
        <v>1240</v>
      </c>
      <c r="R78" s="216">
        <f ca="1">IF(I78&gt;=P78,I78,P78)</f>
        <v>900</v>
      </c>
      <c r="S78" s="214">
        <f>S75*2+S76*2</f>
        <v>2440</v>
      </c>
      <c r="T78" s="214">
        <f>T75*2+T76*2</f>
        <v>1700</v>
      </c>
    </row>
    <row r="79" spans="1:20" ht="13.2">
      <c r="A79" s="283"/>
      <c r="B79" s="214">
        <f>IF( B78&gt;690,1,0)</f>
        <v>0</v>
      </c>
      <c r="C79" s="214">
        <f>IF(E75=2100,3,IF(E75=1800,5,IF(E75=1250,7,0)))</f>
        <v>3</v>
      </c>
      <c r="D79" s="214">
        <f>IF(E75=2100,3,IF(E75=1800,5,IF(E75=1250,7,0)))</f>
        <v>3</v>
      </c>
      <c r="E79" s="214">
        <f>IF(E75=2100,3,IF(E75=1800,5,IF(E75=1250,7,0)))</f>
        <v>3</v>
      </c>
      <c r="F79" s="214">
        <f>IF(E75=2100,3,IF(E75=1800,5,IF(E75=1250,7,0)))</f>
        <v>3</v>
      </c>
      <c r="H79" s="198"/>
      <c r="I79" s="198"/>
      <c r="J79" s="198"/>
      <c r="S79" s="214">
        <f>S75*3+S76*2</f>
        <v>3640</v>
      </c>
      <c r="T79" s="214">
        <f>T75*3+T76*2</f>
        <v>2500</v>
      </c>
    </row>
    <row r="80" spans="1:20" ht="13.2">
      <c r="A80" s="283"/>
      <c r="B80" s="198"/>
      <c r="C80" s="198"/>
      <c r="D80" s="198"/>
      <c r="E80" s="198"/>
      <c r="F80" s="198"/>
      <c r="H80" s="198"/>
      <c r="I80" s="217"/>
      <c r="J80" s="198"/>
      <c r="R80" s="213"/>
      <c r="S80" s="214">
        <f>S75*4+S76*2</f>
        <v>4840</v>
      </c>
      <c r="T80" s="214">
        <f>T75*4+T76*2</f>
        <v>3300</v>
      </c>
    </row>
    <row r="81" spans="1:20" ht="13.2">
      <c r="A81" s="283"/>
      <c r="B81" s="198"/>
      <c r="C81" s="198"/>
      <c r="D81" s="198"/>
      <c r="E81" s="198"/>
      <c r="F81" s="198"/>
      <c r="H81" s="198"/>
      <c r="I81" s="217"/>
      <c r="J81" s="198"/>
      <c r="S81" s="214"/>
      <c r="T81" s="214">
        <f>T75*5+T76*2</f>
        <v>4100</v>
      </c>
    </row>
    <row r="82" spans="1:20" ht="13.2">
      <c r="B82" s="198"/>
      <c r="C82" s="198"/>
      <c r="D82" s="198"/>
      <c r="E82" s="198"/>
      <c r="F82" s="198"/>
      <c r="H82" s="198"/>
      <c r="I82" s="217"/>
      <c r="J82" s="198"/>
      <c r="S82" s="198"/>
      <c r="T82" s="198"/>
    </row>
    <row r="83" spans="1:20" ht="30.6">
      <c r="A83" s="283">
        <v>10</v>
      </c>
      <c r="B83" s="218" t="str">
        <f>Kalk!B39</f>
        <v xml:space="preserve"> </v>
      </c>
      <c r="C83" s="218" t="s">
        <v>1145</v>
      </c>
      <c r="D83" s="218" t="s">
        <v>1146</v>
      </c>
      <c r="E83" s="218" t="s">
        <v>1147</v>
      </c>
      <c r="F83" s="218" t="s">
        <v>83</v>
      </c>
      <c r="H83" s="284" t="s">
        <v>1148</v>
      </c>
      <c r="I83" s="284"/>
      <c r="J83" s="284"/>
      <c r="S83" s="204" t="s">
        <v>1149</v>
      </c>
      <c r="T83" s="204" t="s">
        <v>1150</v>
      </c>
    </row>
    <row r="84" spans="1:20" ht="17.399999999999999">
      <c r="A84" s="283"/>
      <c r="B84" s="205" t="str">
        <f>Kalk!K40</f>
        <v>B</v>
      </c>
      <c r="C84" s="206" cm="1">
        <f t="array" aca="1" ref="C84" ca="1">IF(OR(B84="E",B84="B",B84="C"),INDIRECT("'"&amp;B85&amp;"'!J111"),IF(OR(B84="EB",B84="BC"),INDIRECT("'"&amp;B85&amp;"'!J113"),""))</f>
        <v>20</v>
      </c>
      <c r="D84" s="207" cm="1">
        <f t="array" aca="1" ref="D84" ca="1">IF(OR(B84="E",B84="B",B84="C"),INDIRECT("'"&amp;B85&amp;"'!K111"),IF(OR(B84="EB",B84="BC"),INDIRECT("'"&amp;B85&amp;"'!K113"),""))</f>
        <v>20</v>
      </c>
      <c r="E84" s="219">
        <f>Kalk!Q40</f>
        <v>2100</v>
      </c>
      <c r="F84" s="207">
        <f>IF(OR(B85="F0110",B85="F0409",B85="F0410",B85="F0422",B85="F0427",B85="F0452"),C86,      IF(OR(B85="F0200",B85="F0201",B85="F0202",B85="F0203",B85="F0200-F0203",B85="F0201-F0203",B85="F0501"),D86,      IF(OR(B85="F0711",B85="F0713"),E86,       IF(B85="F0451",F86,0))))</f>
        <v>300</v>
      </c>
      <c r="H84" s="208">
        <f>IF(AND(Kalk!C40="",Kalk!E40="",Kalk!G40=""),0,    M84)</f>
        <v>0</v>
      </c>
      <c r="I84" s="208">
        <f>IF(AND(Kalk!C40="",Kalk!E40="",Kalk!G40=""),0,    N84)</f>
        <v>0</v>
      </c>
      <c r="J84" s="209">
        <f>Kalk!Q40</f>
        <v>2100</v>
      </c>
      <c r="K84" s="210">
        <f ca="1">IF(AND(M84=Q86,N84=R86), M86*N86,   IF(AND(M84=Q87,N84=R87), M87*N87, 0))</f>
        <v>1</v>
      </c>
      <c r="L84" s="211">
        <f>IF(AND(Kalk!C40="",Kalk!E40="",Kalk!G40=""),0,
   IF(AND(H84=Q86,I84=R86,J86&gt;=J87),J86,J87))</f>
        <v>0</v>
      </c>
      <c r="M84" s="211">
        <f ca="1">IF(J86&gt;J87,Q86,
   IF(AND(J86=J87,Q86*R86&lt;=Q87*R87),Q86,Q87))</f>
        <v>1240</v>
      </c>
      <c r="N84" s="212">
        <f ca="1">IF(AND(M84=Q86,J86&gt;=J87),R86,   IF(OR(P86=0,P87=0), 0,  R87))</f>
        <v>900</v>
      </c>
      <c r="Q84" s="213">
        <f>Kalk!S42</f>
        <v>1240</v>
      </c>
      <c r="R84" s="213">
        <f>Kalk!T42</f>
        <v>900</v>
      </c>
      <c r="S84" s="214">
        <f>Kalk!S40</f>
        <v>1200</v>
      </c>
      <c r="T84" s="214">
        <f>Kalk!T40</f>
        <v>800</v>
      </c>
    </row>
    <row r="85" spans="1:20" ht="13.2">
      <c r="A85" s="283"/>
      <c r="B85" s="205" t="str">
        <f>Kalk!B40</f>
        <v>F0201</v>
      </c>
      <c r="C85" s="214" t="s">
        <v>1155</v>
      </c>
      <c r="D85" s="214" t="s">
        <v>1156</v>
      </c>
      <c r="E85" s="214" t="s">
        <v>1157</v>
      </c>
      <c r="F85" s="214" t="s">
        <v>1158</v>
      </c>
      <c r="H85" s="282" t="s">
        <v>1159</v>
      </c>
      <c r="I85" s="282"/>
      <c r="J85" s="203" t="s">
        <v>83</v>
      </c>
      <c r="K85" s="282" t="s">
        <v>46</v>
      </c>
      <c r="L85" s="282"/>
      <c r="M85" s="285" t="s">
        <v>1160</v>
      </c>
      <c r="N85" s="285"/>
      <c r="O85" s="282" t="s">
        <v>1161</v>
      </c>
      <c r="P85" s="282"/>
      <c r="Q85" s="282" t="s">
        <v>1162</v>
      </c>
      <c r="R85" s="282"/>
      <c r="S85" s="214">
        <f>Kalk!S41</f>
        <v>20</v>
      </c>
      <c r="T85" s="214">
        <f>Kalk!T41</f>
        <v>50</v>
      </c>
    </row>
    <row r="86" spans="1:20" ht="13.2">
      <c r="A86" s="283"/>
      <c r="B86" s="203" t="s">
        <v>1163</v>
      </c>
      <c r="C86" s="214">
        <f>IF(SUM(C87:C88)=4,VLOOKUP(Kalk!K40,Pakowanie!$V$2:$AH$8,5,0),   IF(SUM(C87:C88)=6,VLOOKUP(Kalk!K40,Pakowanie!$V$2:$AH$8,6,0),    IF(SUM(C87:C88)=8,VLOOKUP(Kalk!K40,Pakowanie!$V$2:$AH$8,7,0),0)))</f>
        <v>0</v>
      </c>
      <c r="D86" s="214">
        <f>IF(SUM(D87:D88)=14,W9,    IF(SUM(D87:D88)=16,X9,       IF(SUM(D87:D88)=18,Y9,     IF(SUM(D87:D88)=4,VLOOKUP(Kalk!K40,Pakowanie!$V$2:$AH$8,2,0),   IF(SUM(D87:D88)=6,VLOOKUP(Kalk!K40,Pakowanie!$V$2:$AH$8,3,0),    IF(SUM(D87:D88)=8,VLOOKUP(Kalk!K40,Pakowanie!$V$2:$AH$8,4,0),0))))))</f>
        <v>300</v>
      </c>
      <c r="E86" s="214">
        <f>IF(SUM(E87:E88)=4,VLOOKUP(Kalk!K40,Pakowanie!$V$2:$AH$8,8,0),   IF(SUM(E87:E88)=6,VLOOKUP(Kalk!K40,Pakowanie!$V$2:$AH$8,9,0),    IF(SUM(E87:E88)=8,VLOOKUP(Kalk!K40,Pakowanie!$V$2:$AH$8,10,0),0)))</f>
        <v>0</v>
      </c>
      <c r="F86" s="214">
        <f>IF(SUM(F87:F88)=4,VLOOKUP(Kalk!K40,Pakowanie!$V$2:$AH$8,11,0),   IF(SUM(F87:F88)=6,VLOOKUP(Kalk!K40,Pakowanie!$V$2:$AH$8,12,0),    IF(SUM(F87:F88)=8,VLOOKUP(Kalk!K40,Pakowanie!$V$2:$AH$8,13,0),0)))</f>
        <v>0</v>
      </c>
      <c r="H86" s="214">
        <f ca="1">PRODUCT(C84,K86)</f>
        <v>1240</v>
      </c>
      <c r="I86" s="214">
        <f ca="1">PRODUCT(D84,L86)</f>
        <v>900</v>
      </c>
      <c r="J86" s="213">
        <f ca="1">PRODUCT(K86:L86,F84)</f>
        <v>837000</v>
      </c>
      <c r="K86" s="214">
        <f ca="1">IF((S86/C84)&lt;=1,0,ROUNDDOWN(S86/C84,0))</f>
        <v>62</v>
      </c>
      <c r="L86" s="214">
        <f ca="1">IF((T86/D84)&lt;=1,0,ROUNDDOWN(T86/D84,0))</f>
        <v>45</v>
      </c>
      <c r="M86" s="214">
        <v>1</v>
      </c>
      <c r="N86" s="214">
        <v>1</v>
      </c>
      <c r="O86" s="214">
        <f>IF(M86=1,$S$84,  IF(M86=2,$S$84*2,  IF(M86=3,$S$84*3,   0)))</f>
        <v>1200</v>
      </c>
      <c r="P86" s="214">
        <f>IF(N86=1,$T$84,  IF(N86=2,$T$84*2,  IF(N86=3,$T$84*3,  IF(N86=4,$T$84*4,   0))))</f>
        <v>800</v>
      </c>
      <c r="Q86" s="216">
        <f ca="1">IF(H86&gt;=O86,H86,O86)</f>
        <v>1240</v>
      </c>
      <c r="R86" s="216">
        <f ca="1">IF(I86&gt;=P86,I86,P86)</f>
        <v>900</v>
      </c>
      <c r="S86" s="214">
        <f>S84+S85*2</f>
        <v>1240</v>
      </c>
      <c r="T86" s="214">
        <f>T84+T85*2</f>
        <v>900</v>
      </c>
    </row>
    <row r="87" spans="1:20" ht="13.2">
      <c r="A87" s="283"/>
      <c r="B87" s="205">
        <f>Kalk!L40</f>
        <v>274</v>
      </c>
      <c r="C87" s="214">
        <f>IF(OR(B85="F0110",B85="F0409",B85="F0410",B85="F0422",B85="F0427",B85="F0452"),1,0)</f>
        <v>0</v>
      </c>
      <c r="D87" s="214">
        <v>1</v>
      </c>
      <c r="E87" s="214">
        <f>IF(OR(B85="F0711",B85="F0713"),1,0)</f>
        <v>0</v>
      </c>
      <c r="F87" s="214">
        <f>IF(B85="F0451",1,0)</f>
        <v>0</v>
      </c>
      <c r="H87" s="214">
        <f ca="1">PRODUCT(D84,K87)</f>
        <v>1240</v>
      </c>
      <c r="I87" s="214">
        <f ca="1">PRODUCT(C84,L87)</f>
        <v>900</v>
      </c>
      <c r="J87" s="213">
        <f ca="1">PRODUCT(K87:L87,F84)</f>
        <v>837000</v>
      </c>
      <c r="K87" s="214">
        <f ca="1">IF((S86/D84)&lt;=1,0,ROUNDDOWN(S86/D84,0))</f>
        <v>62</v>
      </c>
      <c r="L87" s="214">
        <f ca="1">IF((T86/C84)&lt;=1,0,ROUNDDOWN(T86/C84,0))</f>
        <v>45</v>
      </c>
      <c r="M87" s="214">
        <v>1</v>
      </c>
      <c r="N87" s="214">
        <v>1</v>
      </c>
      <c r="O87" s="214">
        <f>IF(M87=1,$S$84,  IF(M87=2,$S$84*2,  IF(M87=3,$S$84*3,   0)))</f>
        <v>1200</v>
      </c>
      <c r="P87" s="214">
        <f>IF(N87=1,$T$84,  IF(N87=2,$T$84*2,  IF(N87=3,$T$84*3,  IF(N87=4,$T$84*4,   0))))</f>
        <v>800</v>
      </c>
      <c r="Q87" s="216">
        <f ca="1">IF(H87&gt;=O87,H87,O87)</f>
        <v>1240</v>
      </c>
      <c r="R87" s="216">
        <f ca="1">IF(I87&gt;=P87,I87,P87)</f>
        <v>900</v>
      </c>
      <c r="S87" s="214">
        <f>S84*2+S85*2</f>
        <v>2440</v>
      </c>
      <c r="T87" s="214">
        <f>T84*2+T85*2</f>
        <v>1700</v>
      </c>
    </row>
    <row r="88" spans="1:20" ht="13.2">
      <c r="A88" s="283"/>
      <c r="B88" s="214">
        <f>IF( B87&gt;690,1,0)</f>
        <v>0</v>
      </c>
      <c r="C88" s="214">
        <f>IF(E84=2100,3,IF(E84=1800,5,IF(E84=1250,7,0)))</f>
        <v>3</v>
      </c>
      <c r="D88" s="214">
        <f>IF(E84=2100,3,IF(E84=1800,5,IF(E84=1250,7,0)))</f>
        <v>3</v>
      </c>
      <c r="E88" s="214">
        <f>IF(E84=2100,3,IF(E84=1800,5,IF(E84=1250,7,0)))</f>
        <v>3</v>
      </c>
      <c r="F88" s="214">
        <f>IF(E84=2100,3,IF(E84=1800,5,IF(E84=1250,7,0)))</f>
        <v>3</v>
      </c>
      <c r="H88" s="198"/>
      <c r="I88" s="198"/>
      <c r="J88" s="198"/>
      <c r="S88" s="214">
        <f>S84*3+S85*2</f>
        <v>3640</v>
      </c>
      <c r="T88" s="214">
        <f>T84*3+T85*2</f>
        <v>2500</v>
      </c>
    </row>
    <row r="89" spans="1:20" ht="13.2">
      <c r="A89" s="283"/>
      <c r="H89" s="198"/>
      <c r="I89" s="217"/>
      <c r="J89" s="198"/>
      <c r="S89" s="214">
        <f>S84*4+S85*2</f>
        <v>4840</v>
      </c>
      <c r="T89" s="214">
        <f>T84*4+T85*2</f>
        <v>3300</v>
      </c>
    </row>
    <row r="90" spans="1:20" ht="13.2">
      <c r="A90" s="283"/>
      <c r="H90" s="198"/>
      <c r="I90" s="217"/>
      <c r="J90" s="198"/>
      <c r="S90" s="214"/>
      <c r="T90" s="214">
        <f>T84*5+T85*2</f>
        <v>4100</v>
      </c>
    </row>
    <row r="91" spans="1:20" ht="13.2">
      <c r="H91" s="198"/>
      <c r="I91" s="217"/>
      <c r="J91" s="198"/>
      <c r="S91" s="198"/>
      <c r="T91" s="198"/>
    </row>
  </sheetData>
  <mergeCells count="76">
    <mergeCell ref="M13:N13"/>
    <mergeCell ref="O13:P13"/>
    <mergeCell ref="Q13:R13"/>
    <mergeCell ref="A2:A9"/>
    <mergeCell ref="H2:J2"/>
    <mergeCell ref="H4:I4"/>
    <mergeCell ref="K4:L4"/>
    <mergeCell ref="M4:N4"/>
    <mergeCell ref="O4:P4"/>
    <mergeCell ref="Q4:R4"/>
    <mergeCell ref="V9:V10"/>
    <mergeCell ref="A20:A27"/>
    <mergeCell ref="H20:J20"/>
    <mergeCell ref="Z20:AA20"/>
    <mergeCell ref="H22:I22"/>
    <mergeCell ref="K22:L22"/>
    <mergeCell ref="M22:N22"/>
    <mergeCell ref="O22:P22"/>
    <mergeCell ref="Q22:R22"/>
    <mergeCell ref="W9:W10"/>
    <mergeCell ref="X9:X10"/>
    <mergeCell ref="Y9:Y10"/>
    <mergeCell ref="A11:A18"/>
    <mergeCell ref="H11:J11"/>
    <mergeCell ref="H13:I13"/>
    <mergeCell ref="K13:L13"/>
    <mergeCell ref="O31:P31"/>
    <mergeCell ref="Q31:R31"/>
    <mergeCell ref="AB35:AC35"/>
    <mergeCell ref="A38:A45"/>
    <mergeCell ref="H38:J38"/>
    <mergeCell ref="H40:I40"/>
    <mergeCell ref="K40:L40"/>
    <mergeCell ref="M40:N40"/>
    <mergeCell ref="O40:P40"/>
    <mergeCell ref="Q40:R40"/>
    <mergeCell ref="A29:A36"/>
    <mergeCell ref="H29:J29"/>
    <mergeCell ref="H31:I31"/>
    <mergeCell ref="K31:L31"/>
    <mergeCell ref="M31:N31"/>
    <mergeCell ref="O49:P49"/>
    <mergeCell ref="Q49:R49"/>
    <mergeCell ref="A56:A63"/>
    <mergeCell ref="H56:J56"/>
    <mergeCell ref="H58:I58"/>
    <mergeCell ref="K58:L58"/>
    <mergeCell ref="M58:N58"/>
    <mergeCell ref="O58:P58"/>
    <mergeCell ref="Q58:R58"/>
    <mergeCell ref="A47:A54"/>
    <mergeCell ref="H47:J47"/>
    <mergeCell ref="H49:I49"/>
    <mergeCell ref="K49:L49"/>
    <mergeCell ref="M49:N49"/>
    <mergeCell ref="O67:P67"/>
    <mergeCell ref="Q67:R67"/>
    <mergeCell ref="A74:A81"/>
    <mergeCell ref="H74:J74"/>
    <mergeCell ref="H76:I76"/>
    <mergeCell ref="K76:L76"/>
    <mergeCell ref="M76:N76"/>
    <mergeCell ref="O76:P76"/>
    <mergeCell ref="Q76:R76"/>
    <mergeCell ref="A65:A72"/>
    <mergeCell ref="H65:J65"/>
    <mergeCell ref="H67:I67"/>
    <mergeCell ref="K67:L67"/>
    <mergeCell ref="M67:N67"/>
    <mergeCell ref="O85:P85"/>
    <mergeCell ref="Q85:R85"/>
    <mergeCell ref="A83:A90"/>
    <mergeCell ref="H83:J83"/>
    <mergeCell ref="H85:I85"/>
    <mergeCell ref="K85:L85"/>
    <mergeCell ref="M85:N85"/>
  </mergeCells>
  <dataValidations count="4">
    <dataValidation type="list" operator="equal" allowBlank="1" sqref="K3 K12 Y20 K21 K30 K39 K48 K57 K66 K75 K84" xr:uid="{00000000-0002-0000-1A00-000000000000}">
      <formula1>"1,2,3,4,5,6"</formula1>
      <formula2>0</formula2>
    </dataValidation>
    <dataValidation type="list" operator="equal" allowBlank="1" sqref="AA20" xr:uid="{00000000-0002-0000-1A00-000001000000}">
      <formula1>"F,E,B,C,EB,BC"</formula1>
      <formula2>0</formula2>
    </dataValidation>
    <dataValidation type="list" operator="equal" allowBlank="1" sqref="AA21" xr:uid="{00000000-0002-0000-1A00-000002000000}">
      <formula1>"2100,1800,1250"</formula1>
      <formula2>0</formula2>
    </dataValidation>
    <dataValidation type="list" operator="equal" allowBlank="1" sqref="Z20" xr:uid="{00000000-0002-0000-1A00-000003000000}">
      <formula1>"EURO,industrial 800,industrial 1000,special,"</formula1>
      <formula2>0</formula2>
    </dataValidation>
  </dataValidation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  <pageSetUpPr fitToPage="1"/>
  </sheetPr>
  <dimension ref="A1:N120"/>
  <sheetViews>
    <sheetView zoomScale="74" zoomScaleNormal="74" workbookViewId="0">
      <selection activeCell="N1" sqref="N1:N1048576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 ca="1">IF(((($C$3+$D$3)*2+47)&lt;=2900)*AND($M$3=1),($C$3+$D$3)*2+47,IF(((($C$3+$D$3)*2+47)&gt;=2855),2*F9,($C$3+$D$3)*2+47))</f>
        <v>47</v>
      </c>
      <c r="G3" s="87">
        <f>SUM(B9:C9)</f>
        <v>4</v>
      </c>
      <c r="H3" s="90">
        <f ca="1">(F3*G3)/1000000</f>
        <v>1.8799999999999999E-4</v>
      </c>
      <c r="I3" s="91">
        <f ca="1">I10/H3</f>
        <v>2659574.4680851065</v>
      </c>
      <c r="J3" s="92">
        <f>C3+D3+20</f>
        <v>20</v>
      </c>
      <c r="K3" s="92">
        <f>E3+D3/2+20</f>
        <v>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51</v>
      </c>
      <c r="G4" s="87">
        <f>SUM(B10:C10)</f>
        <v>6</v>
      </c>
      <c r="H4" s="93">
        <f ca="1">F4*G4/1000000</f>
        <v>3.0600000000000001E-4</v>
      </c>
      <c r="I4" s="91">
        <f ca="1">I10/H4</f>
        <v>1633986.928104575</v>
      </c>
      <c r="J4" s="92">
        <f>C3+D3+20</f>
        <v>20</v>
      </c>
      <c r="K4" s="92">
        <f>E3+D3/2+20</f>
        <v>20</v>
      </c>
      <c r="L4" s="104"/>
      <c r="M4" s="105"/>
      <c r="N4">
        <f ca="1">IF(((($C$3+$D$3)*2+51)&lt;=2900)*AND($M$3=1),($C$3+$D$3)*2+51,IF(((($C$3+$D$3)*2+51)&gt;=2855),2*F10,($C$3+$D$3)*2+51))</f>
        <v>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55</v>
      </c>
      <c r="G5" s="87">
        <f>SUM(B11:C11)</f>
        <v>8</v>
      </c>
      <c r="H5" s="93">
        <f ca="1">F5*G5/1000000</f>
        <v>4.4000000000000002E-4</v>
      </c>
      <c r="I5" s="91">
        <f ca="1">I10/H5</f>
        <v>1136363.6363636362</v>
      </c>
      <c r="J5" s="92">
        <f>C3+D3+40</f>
        <v>40</v>
      </c>
      <c r="K5" s="92">
        <f>E3+D3/2+40</f>
        <v>40</v>
      </c>
      <c r="L5" s="104"/>
      <c r="N5">
        <f ca="1">IF(((($C$3+$D$3)*2+55)&lt;=2900)*AND($M$3=1),($C$3+$D$3)*2+55,IF(((($C$3+$D$3)*2+55)&gt;=2855),2*F11,($C$3+$D$3)*2+55))</f>
        <v>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63</v>
      </c>
      <c r="G6" s="87">
        <f>SUM(B12:C12)</f>
        <v>11</v>
      </c>
      <c r="H6" s="93">
        <f ca="1">F6*G6/1000000</f>
        <v>6.9300000000000004E-4</v>
      </c>
      <c r="I6" s="91">
        <f ca="1">I10/H6</f>
        <v>721500.72150072141</v>
      </c>
      <c r="J6" s="92">
        <f>C3+D3+40</f>
        <v>40</v>
      </c>
      <c r="K6" s="92">
        <f>E3+D3/2+40</f>
        <v>40</v>
      </c>
      <c r="L6" s="104"/>
      <c r="M6" s="6"/>
      <c r="N6">
        <f ca="1">IF(((($C$3+$D$3)*2+59)&lt;=2900)*AND($M$3=1),($C$3+$D$3)*2+59,IF(((($C$3+$D$3)*2+59)&gt;=2855),2*F12,($C$3+$D$3)*2+59))</f>
        <v>59</v>
      </c>
    </row>
    <row r="7" spans="1:14" ht="13.2">
      <c r="A7" s="260"/>
      <c r="E7" t="s">
        <v>35</v>
      </c>
      <c r="L7" s="104"/>
    </row>
    <row r="8" spans="1:14" ht="13.35" customHeight="1">
      <c r="A8" s="260"/>
      <c r="B8" s="263" t="s">
        <v>71</v>
      </c>
      <c r="C8" s="263"/>
      <c r="D8" s="263"/>
      <c r="F8" s="261" t="s">
        <v>58</v>
      </c>
      <c r="G8" s="261"/>
      <c r="H8" s="87" t="s">
        <v>59</v>
      </c>
      <c r="I8" s="264" t="s">
        <v>63</v>
      </c>
      <c r="L8" s="104"/>
    </row>
    <row r="9" spans="1:14" ht="13.2">
      <c r="A9" s="260"/>
      <c r="B9" s="96">
        <f>ROUNDUP((D3/2)+1,0)</f>
        <v>1</v>
      </c>
      <c r="C9" s="97">
        <f>E3+3</f>
        <v>3</v>
      </c>
      <c r="D9" s="98"/>
      <c r="E9" s="89" t="s">
        <v>72</v>
      </c>
      <c r="F9" s="87">
        <f>C3+D3+51</f>
        <v>51</v>
      </c>
      <c r="G9" s="87">
        <f>SUM(B9:C9)</f>
        <v>4</v>
      </c>
      <c r="H9" s="90">
        <f>((F9*G9)/1000000)*2</f>
        <v>4.08E-4</v>
      </c>
      <c r="I9" s="264"/>
      <c r="L9" s="104"/>
    </row>
    <row r="10" spans="1:14" ht="13.2">
      <c r="A10" s="260"/>
      <c r="B10" s="101">
        <f>ROUNDUP((D3/2)+2,0)</f>
        <v>2</v>
      </c>
      <c r="C10" s="102">
        <f>E3+4</f>
        <v>4</v>
      </c>
      <c r="D10" s="103"/>
      <c r="E10" s="89" t="s">
        <v>72</v>
      </c>
      <c r="F10" s="87">
        <f>C3+D3+53</f>
        <v>53</v>
      </c>
      <c r="G10" s="87">
        <f>SUM(B10:C10)</f>
        <v>6</v>
      </c>
      <c r="H10" s="90">
        <f>(F10*G10/1000000)*2</f>
        <v>6.3599999999999996E-4</v>
      </c>
      <c r="I10" s="99">
        <v>500</v>
      </c>
      <c r="L10" s="104"/>
    </row>
    <row r="11" spans="1:14" ht="13.2">
      <c r="A11" s="260"/>
      <c r="B11" s="101">
        <f>ROUNDUP((D3/2)+3,0)</f>
        <v>3</v>
      </c>
      <c r="C11" s="102">
        <f>E3+5</f>
        <v>5</v>
      </c>
      <c r="D11" s="103"/>
      <c r="E11" s="89" t="s">
        <v>72</v>
      </c>
      <c r="F11" s="87">
        <f>C3+D3+55</f>
        <v>55</v>
      </c>
      <c r="G11" s="87">
        <f>SUM(B11:C11)</f>
        <v>8</v>
      </c>
      <c r="H11" s="90">
        <f>(F11*G11/1000000)*2</f>
        <v>8.8000000000000003E-4</v>
      </c>
      <c r="I11" s="6"/>
      <c r="L11" s="104"/>
    </row>
    <row r="12" spans="1:14" ht="13.2">
      <c r="A12" s="260"/>
      <c r="B12" s="101">
        <f>ROUNDUP((D3/2)+4,0)</f>
        <v>4</v>
      </c>
      <c r="C12" s="102">
        <f>E3+7</f>
        <v>7</v>
      </c>
      <c r="D12" s="103"/>
      <c r="E12" s="89" t="s">
        <v>72</v>
      </c>
      <c r="F12" s="87">
        <f>C3+D3+59</f>
        <v>59</v>
      </c>
      <c r="G12" s="87">
        <f>SUM(B12:C12)</f>
        <v>11</v>
      </c>
      <c r="H12" s="90">
        <f>(F12*G12/1000000)*2</f>
        <v>1.2979999999999999E-3</v>
      </c>
      <c r="I12" s="6"/>
      <c r="L12" s="104"/>
    </row>
    <row r="13" spans="1:14" ht="12.9" customHeight="1">
      <c r="L13" s="265" t="s">
        <v>64</v>
      </c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265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47</v>
      </c>
      <c r="G15" s="87">
        <f>SUM(B21:C21)</f>
        <v>4</v>
      </c>
      <c r="H15" s="90">
        <f ca="1">(F15*G15)/1000000</f>
        <v>1.8799999999999999E-4</v>
      </c>
      <c r="I15" s="91">
        <f ca="1">I22/H15</f>
        <v>2659574.4680851065</v>
      </c>
      <c r="J15" s="92">
        <f>C15+D15+20</f>
        <v>20</v>
      </c>
      <c r="K15" s="92">
        <f>E15+D15/2+20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51</v>
      </c>
      <c r="G16" s="87">
        <f>SUM(B22:C22)</f>
        <v>6</v>
      </c>
      <c r="H16" s="93">
        <f ca="1">F16*G16/1000000</f>
        <v>3.0600000000000001E-4</v>
      </c>
      <c r="I16" s="91">
        <f ca="1">I22/H16</f>
        <v>1633986.928104575</v>
      </c>
      <c r="J16" s="92">
        <f>C15+D15+20</f>
        <v>20</v>
      </c>
      <c r="K16" s="92">
        <f>E15+D15/2+20</f>
        <v>20</v>
      </c>
      <c r="L16" s="104"/>
      <c r="N16">
        <f ca="1">IF(((($C$3+$D$3)*2+51)&lt;=2900)*AND($M$3=1),($C$3+$D$3)*2+51,IF(((($C$3+$D$3)*2+51)&gt;=2855),2*F22,($C$3+$D$3)*2+51))</f>
        <v>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55</v>
      </c>
      <c r="G17" s="87">
        <f>SUM(B23:C23)</f>
        <v>8</v>
      </c>
      <c r="H17" s="93">
        <f ca="1">F17*G17/1000000</f>
        <v>4.4000000000000002E-4</v>
      </c>
      <c r="I17" s="91">
        <f ca="1">I22/H17</f>
        <v>1136363.6363636362</v>
      </c>
      <c r="J17" s="92">
        <f>C15+D15+40</f>
        <v>40</v>
      </c>
      <c r="K17" s="92">
        <f>E15+D15/2+40</f>
        <v>40</v>
      </c>
      <c r="L17" s="104"/>
      <c r="N17">
        <f ca="1">IF(((($C$3+$D$3)*2+55)&lt;=2900)*AND($M$3=1),($C$3+$D$3)*2+55,IF(((($C$3+$D$3)*2+55)&gt;=2855),2*F23,($C$3+$D$3)*2+55))</f>
        <v>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63</v>
      </c>
      <c r="G18" s="87">
        <f>SUM(B24:C24)</f>
        <v>11</v>
      </c>
      <c r="H18" s="93">
        <f ca="1">F18*G18/1000000</f>
        <v>6.9300000000000004E-4</v>
      </c>
      <c r="I18" s="91">
        <f ca="1">I22/H18</f>
        <v>721500.72150072141</v>
      </c>
      <c r="J18" s="92">
        <f>C15+D15+40</f>
        <v>40</v>
      </c>
      <c r="K18" s="92">
        <f>E15+D15/2+40</f>
        <v>40</v>
      </c>
      <c r="L18" s="104"/>
      <c r="N18">
        <f ca="1">IF(((($C$3+$D$3)*2+59)&lt;=2900)*AND($M$3=1),($C$3+$D$3)*2+59,IF(((($C$3+$D$3)*2+59)&gt;=2855),2*F24,($C$3+$D$3)*2+59))</f>
        <v>59</v>
      </c>
    </row>
    <row r="19" spans="1:14" ht="13.2">
      <c r="A19" s="260"/>
      <c r="E19" t="s">
        <v>35</v>
      </c>
      <c r="L19" s="104"/>
    </row>
    <row r="20" spans="1:14" ht="13.35" customHeight="1">
      <c r="A20" s="260"/>
      <c r="B20" s="263" t="s">
        <v>71</v>
      </c>
      <c r="C20" s="263"/>
      <c r="D20" s="263"/>
      <c r="F20" s="261" t="s">
        <v>58</v>
      </c>
      <c r="G20" s="261"/>
      <c r="H20" s="87" t="s">
        <v>59</v>
      </c>
      <c r="I20" s="264" t="s">
        <v>63</v>
      </c>
      <c r="L20" s="104"/>
    </row>
    <row r="21" spans="1:14" ht="13.2">
      <c r="A21" s="260"/>
      <c r="B21" s="96">
        <f>ROUNDUP((D15/2)+1,0)</f>
        <v>1</v>
      </c>
      <c r="C21" s="97">
        <f>E15+3</f>
        <v>3</v>
      </c>
      <c r="D21" s="98"/>
      <c r="E21" s="89" t="s">
        <v>72</v>
      </c>
      <c r="F21" s="87">
        <f>C15+D15+51</f>
        <v>51</v>
      </c>
      <c r="G21" s="87">
        <f>SUM(B21:C21)</f>
        <v>4</v>
      </c>
      <c r="H21" s="90">
        <f>((F21*G21)/1000000)*2</f>
        <v>4.08E-4</v>
      </c>
      <c r="I21" s="264"/>
      <c r="L21" s="104"/>
    </row>
    <row r="22" spans="1:14" ht="13.2">
      <c r="A22" s="260"/>
      <c r="B22" s="101">
        <f>ROUNDUP((D15/2)+2,0)</f>
        <v>2</v>
      </c>
      <c r="C22" s="102">
        <f>E15+4</f>
        <v>4</v>
      </c>
      <c r="D22" s="103"/>
      <c r="E22" s="89" t="s">
        <v>72</v>
      </c>
      <c r="F22" s="87">
        <f>C15+D15+53</f>
        <v>53</v>
      </c>
      <c r="G22" s="87">
        <f>SUM(B22:C22)</f>
        <v>6</v>
      </c>
      <c r="H22" s="90">
        <f>(F22*G22/1000000)*2</f>
        <v>6.3599999999999996E-4</v>
      </c>
      <c r="I22" s="99">
        <v>500</v>
      </c>
      <c r="L22" s="104"/>
    </row>
    <row r="23" spans="1:14" ht="13.2">
      <c r="A23" s="260"/>
      <c r="B23" s="101">
        <f>ROUNDUP((D15/2)+3,0)</f>
        <v>3</v>
      </c>
      <c r="C23" s="102">
        <f>E15+5</f>
        <v>5</v>
      </c>
      <c r="D23" s="103"/>
      <c r="E23" s="89" t="s">
        <v>72</v>
      </c>
      <c r="F23" s="87">
        <f>C15+D15+55</f>
        <v>55</v>
      </c>
      <c r="G23" s="87">
        <f>SUM(B23:C23)</f>
        <v>8</v>
      </c>
      <c r="H23" s="90">
        <f>(F23*G23/1000000)*2</f>
        <v>8.8000000000000003E-4</v>
      </c>
      <c r="I23" s="6"/>
      <c r="L23" s="104"/>
    </row>
    <row r="24" spans="1:14" ht="13.2">
      <c r="A24" s="260"/>
      <c r="B24" s="101">
        <f>ROUNDUP((D15/2)+4,0)</f>
        <v>4</v>
      </c>
      <c r="C24" s="102">
        <f>E15+7</f>
        <v>7</v>
      </c>
      <c r="D24" s="103"/>
      <c r="E24" s="89" t="s">
        <v>72</v>
      </c>
      <c r="F24" s="87">
        <f>C15+D15+59</f>
        <v>59</v>
      </c>
      <c r="G24" s="87">
        <f>SUM(B24:C24)</f>
        <v>11</v>
      </c>
      <c r="H24" s="90">
        <f>(F24*G24/1000000)*2</f>
        <v>1.2979999999999999E-3</v>
      </c>
      <c r="I24" s="6"/>
      <c r="L24" s="104"/>
    </row>
    <row r="25" spans="1:14" ht="12.9" customHeight="1">
      <c r="L25" s="265" t="s">
        <v>64</v>
      </c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265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47</v>
      </c>
      <c r="G27" s="87">
        <f>SUM(B33:C33)</f>
        <v>4</v>
      </c>
      <c r="H27" s="90">
        <f ca="1">(F27*G27)/1000000</f>
        <v>1.8799999999999999E-4</v>
      </c>
      <c r="I27" s="91">
        <f ca="1">I34/H27</f>
        <v>2659574.4680851065</v>
      </c>
      <c r="J27" s="92">
        <f>C27+D27+20</f>
        <v>20</v>
      </c>
      <c r="K27" s="92">
        <f>E27+D27/2+20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51</v>
      </c>
      <c r="G28" s="87">
        <f>SUM(B34:C34)</f>
        <v>6</v>
      </c>
      <c r="H28" s="93">
        <f ca="1">F28*G28/1000000</f>
        <v>3.0600000000000001E-4</v>
      </c>
      <c r="I28" s="91">
        <f ca="1">I34/H28</f>
        <v>1633986.928104575</v>
      </c>
      <c r="J28" s="92">
        <f>C27+D27+20</f>
        <v>20</v>
      </c>
      <c r="K28" s="92">
        <f>E27+D27/2+20</f>
        <v>20</v>
      </c>
      <c r="L28" s="104"/>
      <c r="N28">
        <f ca="1">IF(((($C$3+$D$3)*2+51)&lt;=2900)*AND($M$3=1),($C$3+$D$3)*2+51,IF(((($C$3+$D$3)*2+51)&gt;=2855),2*F34,($C$3+$D$3)*2+51))</f>
        <v>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55</v>
      </c>
      <c r="G29" s="87">
        <f>SUM(B35:C35)</f>
        <v>8</v>
      </c>
      <c r="H29" s="93">
        <f ca="1">F29*G29/1000000</f>
        <v>4.4000000000000002E-4</v>
      </c>
      <c r="I29" s="91">
        <f ca="1">I34/H29</f>
        <v>1136363.6363636362</v>
      </c>
      <c r="J29" s="92">
        <f>C27+D27+40</f>
        <v>40</v>
      </c>
      <c r="K29" s="92">
        <f>E27+D27/2+40</f>
        <v>40</v>
      </c>
      <c r="L29" s="104"/>
      <c r="N29">
        <f ca="1">IF(((($C$3+$D$3)*2+55)&lt;=2900)*AND($M$3=1),($C$3+$D$3)*2+55,IF(((($C$3+$D$3)*2+55)&gt;=2855),2*F35,($C$3+$D$3)*2+55))</f>
        <v>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63</v>
      </c>
      <c r="G30" s="87">
        <f>SUM(B36:C36)</f>
        <v>11</v>
      </c>
      <c r="H30" s="93">
        <f ca="1">F30*G30/1000000</f>
        <v>6.9300000000000004E-4</v>
      </c>
      <c r="I30" s="91">
        <f ca="1">I34/H30</f>
        <v>721500.72150072141</v>
      </c>
      <c r="J30" s="92">
        <f>C27+D27+40</f>
        <v>40</v>
      </c>
      <c r="K30" s="92">
        <f>E27+D27/2+40</f>
        <v>40</v>
      </c>
      <c r="L30" s="104"/>
      <c r="N30">
        <f ca="1">IF(((($C$3+$D$3)*2+59)&lt;=2900)*AND($M$3=1),($C$3+$D$3)*2+59,IF(((($C$3+$D$3)*2+59)&gt;=2855),2*F36,($C$3+$D$3)*2+59))</f>
        <v>59</v>
      </c>
    </row>
    <row r="31" spans="1:14" ht="13.2">
      <c r="A31" s="260"/>
      <c r="E31" t="s">
        <v>35</v>
      </c>
      <c r="L31" s="104"/>
    </row>
    <row r="32" spans="1:14" ht="13.35" customHeight="1">
      <c r="A32" s="260"/>
      <c r="B32" s="263" t="s">
        <v>71</v>
      </c>
      <c r="C32" s="263"/>
      <c r="D32" s="263"/>
      <c r="F32" s="261" t="s">
        <v>58</v>
      </c>
      <c r="G32" s="261"/>
      <c r="H32" s="87" t="s">
        <v>59</v>
      </c>
      <c r="I32" s="264" t="s">
        <v>63</v>
      </c>
      <c r="L32" s="104"/>
    </row>
    <row r="33" spans="1:14" ht="13.2">
      <c r="A33" s="260"/>
      <c r="B33" s="96">
        <f>ROUNDUP((D27/2)+1,0)</f>
        <v>1</v>
      </c>
      <c r="C33" s="97">
        <f>E27+3</f>
        <v>3</v>
      </c>
      <c r="D33" s="98"/>
      <c r="E33" s="89" t="s">
        <v>72</v>
      </c>
      <c r="F33" s="87">
        <f>C27+D27+51</f>
        <v>51</v>
      </c>
      <c r="G33" s="87">
        <f>SUM(B33:C33)</f>
        <v>4</v>
      </c>
      <c r="H33" s="90">
        <f>((F33*G33)/1000000)*2</f>
        <v>4.08E-4</v>
      </c>
      <c r="I33" s="264"/>
      <c r="L33" s="104"/>
    </row>
    <row r="34" spans="1:14" ht="13.2">
      <c r="A34" s="260"/>
      <c r="B34" s="101">
        <f>ROUNDUP((D27/2)+2,0)</f>
        <v>2</v>
      </c>
      <c r="C34" s="102">
        <f>E27+4</f>
        <v>4</v>
      </c>
      <c r="D34" s="103"/>
      <c r="E34" s="89" t="s">
        <v>72</v>
      </c>
      <c r="F34" s="87">
        <f>C27+D27+53</f>
        <v>53</v>
      </c>
      <c r="G34" s="87">
        <f>SUM(B34:C34)</f>
        <v>6</v>
      </c>
      <c r="H34" s="90">
        <f>(F34*G34/1000000)*2</f>
        <v>6.3599999999999996E-4</v>
      </c>
      <c r="I34" s="99">
        <v>500</v>
      </c>
      <c r="L34" s="104"/>
    </row>
    <row r="35" spans="1:14" ht="13.2">
      <c r="A35" s="260"/>
      <c r="B35" s="101">
        <f>ROUNDUP((D27/2)+3,0)</f>
        <v>3</v>
      </c>
      <c r="C35" s="102">
        <f>E27+5</f>
        <v>5</v>
      </c>
      <c r="D35" s="103"/>
      <c r="E35" s="89" t="s">
        <v>72</v>
      </c>
      <c r="F35" s="87">
        <f>C27+D27+55</f>
        <v>55</v>
      </c>
      <c r="G35" s="87">
        <f>SUM(B35:C35)</f>
        <v>8</v>
      </c>
      <c r="H35" s="90">
        <f>(F35*G35/1000000)*2</f>
        <v>8.8000000000000003E-4</v>
      </c>
      <c r="I35" s="6"/>
      <c r="L35" s="104"/>
    </row>
    <row r="36" spans="1:14" ht="13.2">
      <c r="A36" s="260"/>
      <c r="B36" s="101">
        <f>ROUNDUP((D27/2)+4,0)</f>
        <v>4</v>
      </c>
      <c r="C36" s="102">
        <f>E27+7</f>
        <v>7</v>
      </c>
      <c r="D36" s="103"/>
      <c r="E36" s="89" t="s">
        <v>72</v>
      </c>
      <c r="F36" s="87">
        <f>C27+D27+59</f>
        <v>59</v>
      </c>
      <c r="G36" s="87">
        <f>SUM(B36:C36)</f>
        <v>11</v>
      </c>
      <c r="H36" s="90">
        <f>(F36*G36/1000000)*2</f>
        <v>1.2979999999999999E-3</v>
      </c>
      <c r="I36" s="6"/>
      <c r="L36" s="104"/>
    </row>
    <row r="37" spans="1:14" ht="12.9" customHeight="1">
      <c r="L37" s="265" t="s">
        <v>64</v>
      </c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265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47</v>
      </c>
      <c r="G39" s="87">
        <f>SUM(B45:C45)</f>
        <v>4</v>
      </c>
      <c r="H39" s="90">
        <f ca="1">(F39*G39)/1000000</f>
        <v>1.8799999999999999E-4</v>
      </c>
      <c r="I39" s="91">
        <f ca="1">I46/H39</f>
        <v>2659574.4680851065</v>
      </c>
      <c r="J39" s="92">
        <f>C39+D39+20</f>
        <v>20</v>
      </c>
      <c r="K39" s="92">
        <f>E39+D39/2+20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51</v>
      </c>
      <c r="G40" s="87">
        <f>SUM(B46:C46)</f>
        <v>6</v>
      </c>
      <c r="H40" s="93">
        <f ca="1">F40*G40/1000000</f>
        <v>3.0600000000000001E-4</v>
      </c>
      <c r="I40" s="91">
        <f ca="1">I46/H40</f>
        <v>1633986.928104575</v>
      </c>
      <c r="J40" s="92">
        <f>C39+D39+20</f>
        <v>20</v>
      </c>
      <c r="K40" s="92">
        <f>E39+D39/2+20</f>
        <v>20</v>
      </c>
      <c r="L40" s="104"/>
      <c r="N40">
        <f ca="1">IF(((($C$3+$D$3)*2+51)&lt;=2900)*AND($M$3=1),($C$3+$D$3)*2+51,IF(((($C$3+$D$3)*2+51)&gt;=2855),2*F46,($C$3+$D$3)*2+51))</f>
        <v>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55</v>
      </c>
      <c r="G41" s="87">
        <f>SUM(B47:C47)</f>
        <v>8</v>
      </c>
      <c r="H41" s="93">
        <f ca="1">F41*G41/1000000</f>
        <v>4.4000000000000002E-4</v>
      </c>
      <c r="I41" s="91">
        <f ca="1">I46/H41</f>
        <v>1136363.6363636362</v>
      </c>
      <c r="J41" s="92">
        <f>C39+D39+40</f>
        <v>40</v>
      </c>
      <c r="K41" s="92">
        <f>E39+D39/2+40</f>
        <v>40</v>
      </c>
      <c r="L41" s="104"/>
      <c r="N41">
        <f ca="1">IF(((($C$3+$D$3)*2+55)&lt;=2900)*AND($M$3=1),($C$3+$D$3)*2+55,IF(((($C$3+$D$3)*2+55)&gt;=2855),2*F47,($C$3+$D$3)*2+55))</f>
        <v>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63</v>
      </c>
      <c r="G42" s="87">
        <f>SUM(B48:C48)</f>
        <v>11</v>
      </c>
      <c r="H42" s="93">
        <f ca="1">F42*G42/1000000</f>
        <v>6.9300000000000004E-4</v>
      </c>
      <c r="I42" s="91">
        <f ca="1">I46/H42</f>
        <v>721500.72150072141</v>
      </c>
      <c r="J42" s="92">
        <f>C39+D39+40</f>
        <v>40</v>
      </c>
      <c r="K42" s="92">
        <f>E39+D39/2+40</f>
        <v>40</v>
      </c>
      <c r="L42" s="104"/>
      <c r="N42">
        <f ca="1">IF(((($C$3+$D$3)*2+59)&lt;=2900)*AND($M$3=1),($C$3+$D$3)*2+59,IF(((($C$3+$D$3)*2+59)&gt;=2855),2*F48,($C$3+$D$3)*2+59))</f>
        <v>59</v>
      </c>
    </row>
    <row r="43" spans="1:14" ht="13.2">
      <c r="A43" s="260"/>
      <c r="E43" t="s">
        <v>35</v>
      </c>
      <c r="L43" s="104"/>
    </row>
    <row r="44" spans="1:14" ht="13.35" customHeight="1">
      <c r="A44" s="260"/>
      <c r="B44" s="263" t="s">
        <v>71</v>
      </c>
      <c r="C44" s="263"/>
      <c r="D44" s="263"/>
      <c r="F44" s="261" t="s">
        <v>58</v>
      </c>
      <c r="G44" s="261"/>
      <c r="H44" s="87" t="s">
        <v>59</v>
      </c>
      <c r="I44" s="264" t="s">
        <v>63</v>
      </c>
      <c r="L44" s="104"/>
    </row>
    <row r="45" spans="1:14" ht="13.2">
      <c r="A45" s="260"/>
      <c r="B45" s="96">
        <f>ROUNDUP((D39/2)+1,0)</f>
        <v>1</v>
      </c>
      <c r="C45" s="97">
        <f>E39+3</f>
        <v>3</v>
      </c>
      <c r="D45" s="98"/>
      <c r="E45" s="89" t="s">
        <v>72</v>
      </c>
      <c r="F45" s="87">
        <f>C39+D39+51</f>
        <v>51</v>
      </c>
      <c r="G45" s="87">
        <f>SUM(B45:C45)</f>
        <v>4</v>
      </c>
      <c r="H45" s="90">
        <f>((F45*G45)/1000000)*2</f>
        <v>4.08E-4</v>
      </c>
      <c r="I45" s="264"/>
      <c r="L45" s="104"/>
    </row>
    <row r="46" spans="1:14" ht="13.2">
      <c r="A46" s="260"/>
      <c r="B46" s="101">
        <f>ROUNDUP((D39/2)+2,0)</f>
        <v>2</v>
      </c>
      <c r="C46" s="102">
        <f>E39+4</f>
        <v>4</v>
      </c>
      <c r="D46" s="103"/>
      <c r="E46" s="89" t="s">
        <v>72</v>
      </c>
      <c r="F46" s="87">
        <f>C39+D39+53</f>
        <v>53</v>
      </c>
      <c r="G46" s="87">
        <f>SUM(B46:C46)</f>
        <v>6</v>
      </c>
      <c r="H46" s="90">
        <f>(F46*G46/1000000)*2</f>
        <v>6.3599999999999996E-4</v>
      </c>
      <c r="I46" s="99">
        <v>500</v>
      </c>
      <c r="L46" s="104"/>
    </row>
    <row r="47" spans="1:14" ht="13.2">
      <c r="A47" s="260"/>
      <c r="B47" s="101">
        <f>ROUNDUP((D39/2)+3,0)</f>
        <v>3</v>
      </c>
      <c r="C47" s="102">
        <f>E39+5</f>
        <v>5</v>
      </c>
      <c r="D47" s="103"/>
      <c r="E47" s="89" t="s">
        <v>72</v>
      </c>
      <c r="F47" s="87">
        <f>C39+D39+55</f>
        <v>55</v>
      </c>
      <c r="G47" s="87">
        <f>SUM(B47:C47)</f>
        <v>8</v>
      </c>
      <c r="H47" s="90">
        <f>(F47*G47/1000000)*2</f>
        <v>8.8000000000000003E-4</v>
      </c>
      <c r="I47" s="6"/>
      <c r="L47" s="104"/>
    </row>
    <row r="48" spans="1:14" ht="13.2">
      <c r="A48" s="260"/>
      <c r="B48" s="101">
        <f>ROUNDUP((D39/2)+4,0)</f>
        <v>4</v>
      </c>
      <c r="C48" s="102">
        <f>E39+7</f>
        <v>7</v>
      </c>
      <c r="D48" s="103"/>
      <c r="E48" s="89" t="s">
        <v>72</v>
      </c>
      <c r="F48" s="87">
        <f>C39+D39+59</f>
        <v>59</v>
      </c>
      <c r="G48" s="87">
        <f>SUM(B48:C48)</f>
        <v>11</v>
      </c>
      <c r="H48" s="90">
        <f>(F48*G48/1000000)*2</f>
        <v>1.2979999999999999E-3</v>
      </c>
      <c r="I48" s="6"/>
      <c r="L48" s="104"/>
    </row>
    <row r="49" spans="1:14" ht="12.9" customHeight="1">
      <c r="L49" s="265" t="s">
        <v>64</v>
      </c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265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47</v>
      </c>
      <c r="G51" s="87">
        <f>SUM(B57:C57)</f>
        <v>4</v>
      </c>
      <c r="H51" s="90">
        <f ca="1">(F51*G51)/1000000</f>
        <v>1.8799999999999999E-4</v>
      </c>
      <c r="I51" s="91">
        <f ca="1">I58/H51</f>
        <v>2659574.4680851065</v>
      </c>
      <c r="J51" s="92">
        <f>C51+D51+20</f>
        <v>20</v>
      </c>
      <c r="K51" s="92">
        <f>E51+D51/2+20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51</v>
      </c>
      <c r="G52" s="87">
        <f>SUM(B58:C58)</f>
        <v>6</v>
      </c>
      <c r="H52" s="93">
        <f ca="1">F52*G52/1000000</f>
        <v>3.0600000000000001E-4</v>
      </c>
      <c r="I52" s="91">
        <f ca="1">I58/H52</f>
        <v>1633986.928104575</v>
      </c>
      <c r="J52" s="92">
        <f>C51+D51+20</f>
        <v>20</v>
      </c>
      <c r="K52" s="92">
        <f>E51+D51/2+20</f>
        <v>20</v>
      </c>
      <c r="L52" s="104"/>
      <c r="N52">
        <f ca="1">IF(((($C$3+$D$3)*2+51)&lt;=2900)*AND($M$3=1),($C$3+$D$3)*2+51,IF(((($C$3+$D$3)*2+51)&gt;=2855),2*F58,($C$3+$D$3)*2+51))</f>
        <v>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55</v>
      </c>
      <c r="G53" s="87">
        <f>SUM(B59:C59)</f>
        <v>8</v>
      </c>
      <c r="H53" s="93">
        <f ca="1">F53*G53/1000000</f>
        <v>4.4000000000000002E-4</v>
      </c>
      <c r="I53" s="91">
        <f ca="1">I58/H53</f>
        <v>1136363.6363636362</v>
      </c>
      <c r="J53" s="92">
        <f>C51+D51+40</f>
        <v>40</v>
      </c>
      <c r="K53" s="92">
        <f>E51+D51/2+40</f>
        <v>40</v>
      </c>
      <c r="L53" s="104"/>
      <c r="N53">
        <f ca="1">IF(((($C$3+$D$3)*2+55)&lt;=2900)*AND($M$3=1),($C$3+$D$3)*2+55,IF(((($C$3+$D$3)*2+55)&gt;=2855),2*F59,($C$3+$D$3)*2+55))</f>
        <v>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63</v>
      </c>
      <c r="G54" s="87">
        <f>SUM(B60:C60)</f>
        <v>11</v>
      </c>
      <c r="H54" s="93">
        <f ca="1">F54*G54/1000000</f>
        <v>6.9300000000000004E-4</v>
      </c>
      <c r="I54" s="91">
        <f ca="1">I58/H54</f>
        <v>721500.72150072141</v>
      </c>
      <c r="J54" s="92">
        <f>C51+D51+40</f>
        <v>40</v>
      </c>
      <c r="K54" s="92">
        <f>E51+D51/2+40</f>
        <v>40</v>
      </c>
      <c r="L54" s="104"/>
      <c r="N54">
        <f ca="1">IF(((($C$3+$D$3)*2+59)&lt;=2900)*AND($M$3=1),($C$3+$D$3)*2+59,IF(((($C$3+$D$3)*2+59)&gt;=2855),2*F60,($C$3+$D$3)*2+59))</f>
        <v>59</v>
      </c>
    </row>
    <row r="55" spans="1:14" ht="13.2">
      <c r="A55" s="260"/>
      <c r="E55" t="s">
        <v>35</v>
      </c>
      <c r="L55" s="104"/>
    </row>
    <row r="56" spans="1:14" ht="13.35" customHeight="1">
      <c r="A56" s="260"/>
      <c r="B56" s="263" t="s">
        <v>71</v>
      </c>
      <c r="C56" s="263"/>
      <c r="D56" s="263"/>
      <c r="F56" s="261" t="s">
        <v>58</v>
      </c>
      <c r="G56" s="261"/>
      <c r="H56" s="87" t="s">
        <v>59</v>
      </c>
      <c r="I56" s="264" t="s">
        <v>63</v>
      </c>
      <c r="L56" s="104"/>
    </row>
    <row r="57" spans="1:14" ht="13.2">
      <c r="A57" s="260"/>
      <c r="B57" s="96">
        <f>ROUNDUP((D51/2)+1,0)</f>
        <v>1</v>
      </c>
      <c r="C57" s="97">
        <f>E51+3</f>
        <v>3</v>
      </c>
      <c r="D57" s="98"/>
      <c r="E57" s="89" t="s">
        <v>72</v>
      </c>
      <c r="F57" s="87">
        <f>C51+D51+51</f>
        <v>51</v>
      </c>
      <c r="G57" s="87">
        <f>SUM(B57:C57)</f>
        <v>4</v>
      </c>
      <c r="H57" s="90">
        <f>((F57*G57)/1000000)*2</f>
        <v>4.08E-4</v>
      </c>
      <c r="I57" s="264"/>
      <c r="L57" s="104"/>
    </row>
    <row r="58" spans="1:14" ht="13.2">
      <c r="A58" s="260"/>
      <c r="B58" s="101">
        <f>ROUNDUP((D51/2)+2,0)</f>
        <v>2</v>
      </c>
      <c r="C58" s="102">
        <f>E51+4</f>
        <v>4</v>
      </c>
      <c r="D58" s="103"/>
      <c r="E58" s="89" t="s">
        <v>72</v>
      </c>
      <c r="F58" s="87">
        <f>C51+D51+53</f>
        <v>53</v>
      </c>
      <c r="G58" s="87">
        <f>SUM(B58:C58)</f>
        <v>6</v>
      </c>
      <c r="H58" s="90">
        <f>(F58*G58/1000000)*2</f>
        <v>6.3599999999999996E-4</v>
      </c>
      <c r="I58" s="99">
        <v>500</v>
      </c>
      <c r="L58" s="104"/>
    </row>
    <row r="59" spans="1:14" ht="13.2">
      <c r="A59" s="260"/>
      <c r="B59" s="101">
        <f>ROUNDUP((D51/2)+3,0)</f>
        <v>3</v>
      </c>
      <c r="C59" s="102">
        <f>E51+5</f>
        <v>5</v>
      </c>
      <c r="D59" s="103"/>
      <c r="E59" s="89" t="s">
        <v>72</v>
      </c>
      <c r="F59" s="87">
        <f>C51+D51+55</f>
        <v>55</v>
      </c>
      <c r="G59" s="87">
        <f>SUM(B59:C59)</f>
        <v>8</v>
      </c>
      <c r="H59" s="90">
        <f>(F59*G59/1000000)*2</f>
        <v>8.8000000000000003E-4</v>
      </c>
      <c r="I59" s="6"/>
      <c r="L59" s="104"/>
    </row>
    <row r="60" spans="1:14" ht="13.2">
      <c r="A60" s="260"/>
      <c r="B60" s="101">
        <f>ROUNDUP((D51/2)+4,0)</f>
        <v>4</v>
      </c>
      <c r="C60" s="102">
        <f>E51+7</f>
        <v>7</v>
      </c>
      <c r="D60" s="103"/>
      <c r="E60" s="89" t="s">
        <v>72</v>
      </c>
      <c r="F60" s="87">
        <f>C51+D51+59</f>
        <v>59</v>
      </c>
      <c r="G60" s="87">
        <f>SUM(B60:C60)</f>
        <v>11</v>
      </c>
      <c r="H60" s="90">
        <f>(F60*G60/1000000)*2</f>
        <v>1.2979999999999999E-3</v>
      </c>
      <c r="I60" s="6"/>
      <c r="L60" s="104"/>
    </row>
    <row r="61" spans="1:14" ht="12.9" customHeight="1">
      <c r="L61" s="265" t="s">
        <v>64</v>
      </c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265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47</v>
      </c>
      <c r="G63" s="87">
        <f>SUM(B69:C69)</f>
        <v>4</v>
      </c>
      <c r="H63" s="90">
        <f ca="1">(F63*G63)/1000000</f>
        <v>1.8799999999999999E-4</v>
      </c>
      <c r="I63" s="91">
        <f ca="1">I70/H63</f>
        <v>2659574.4680851065</v>
      </c>
      <c r="J63" s="92">
        <f>C63+D63+20</f>
        <v>20</v>
      </c>
      <c r="K63" s="92">
        <f>E63+D63/2+20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51</v>
      </c>
      <c r="G64" s="87">
        <f>SUM(B70:C70)</f>
        <v>6</v>
      </c>
      <c r="H64" s="93">
        <f ca="1">F64*G64/1000000</f>
        <v>3.0600000000000001E-4</v>
      </c>
      <c r="I64" s="91">
        <f ca="1">I70/H64</f>
        <v>1633986.928104575</v>
      </c>
      <c r="J64" s="92">
        <f>C63+D63+20</f>
        <v>20</v>
      </c>
      <c r="K64" s="92">
        <f>E63+D63/2+20</f>
        <v>20</v>
      </c>
      <c r="L64" s="104"/>
      <c r="N64">
        <f ca="1">IF(((($C$3+$D$3)*2+51)&lt;=2900)*AND($M$3=1),($C$3+$D$3)*2+51,IF(((($C$3+$D$3)*2+51)&gt;=2855),2*F70,($C$3+$D$3)*2+51))</f>
        <v>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55</v>
      </c>
      <c r="G65" s="87">
        <f>SUM(B71:C71)</f>
        <v>8</v>
      </c>
      <c r="H65" s="93">
        <f ca="1">F65*G65/1000000</f>
        <v>4.4000000000000002E-4</v>
      </c>
      <c r="I65" s="91">
        <f ca="1">I70/H65</f>
        <v>1136363.6363636362</v>
      </c>
      <c r="J65" s="92">
        <f>C63+D63+40</f>
        <v>40</v>
      </c>
      <c r="K65" s="92">
        <f>E63+D63/2+40</f>
        <v>40</v>
      </c>
      <c r="L65" s="104"/>
      <c r="N65">
        <f ca="1">IF(((($C$3+$D$3)*2+55)&lt;=2900)*AND($M$3=1),($C$3+$D$3)*2+55,IF(((($C$3+$D$3)*2+55)&gt;=2855),2*F71,($C$3+$D$3)*2+55))</f>
        <v>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63</v>
      </c>
      <c r="G66" s="87">
        <f>SUM(B72:C72)</f>
        <v>11</v>
      </c>
      <c r="H66" s="93">
        <f ca="1">F66*G66/1000000</f>
        <v>6.9300000000000004E-4</v>
      </c>
      <c r="I66" s="91">
        <f ca="1">I70/H66</f>
        <v>721500.72150072141</v>
      </c>
      <c r="J66" s="92">
        <f>C63+D63+40</f>
        <v>40</v>
      </c>
      <c r="K66" s="92">
        <f>E63+D63/2+40</f>
        <v>40</v>
      </c>
      <c r="L66" s="104"/>
      <c r="N66">
        <f ca="1">IF(((($C$3+$D$3)*2+59)&lt;=2900)*AND($M$3=1),($C$3+$D$3)*2+59,IF(((($C$3+$D$3)*2+59)&gt;=2855),2*F72,($C$3+$D$3)*2+59))</f>
        <v>59</v>
      </c>
    </row>
    <row r="67" spans="1:14" ht="13.2">
      <c r="A67" s="260"/>
      <c r="E67" t="s">
        <v>35</v>
      </c>
      <c r="L67" s="104"/>
    </row>
    <row r="68" spans="1:14" ht="13.35" customHeight="1">
      <c r="A68" s="260"/>
      <c r="B68" s="263" t="s">
        <v>71</v>
      </c>
      <c r="C68" s="263"/>
      <c r="D68" s="263"/>
      <c r="F68" s="261" t="s">
        <v>58</v>
      </c>
      <c r="G68" s="261"/>
      <c r="H68" s="87" t="s">
        <v>59</v>
      </c>
      <c r="I68" s="264" t="s">
        <v>63</v>
      </c>
      <c r="L68" s="104"/>
    </row>
    <row r="69" spans="1:14" ht="13.2">
      <c r="A69" s="260"/>
      <c r="B69" s="96">
        <f>ROUNDUP((D63/2)+1,0)</f>
        <v>1</v>
      </c>
      <c r="C69" s="97">
        <f>E63+3</f>
        <v>3</v>
      </c>
      <c r="D69" s="98"/>
      <c r="E69" s="89" t="s">
        <v>72</v>
      </c>
      <c r="F69" s="87">
        <f>C63+D63+51</f>
        <v>51</v>
      </c>
      <c r="G69" s="87">
        <f>SUM(B69:C69)</f>
        <v>4</v>
      </c>
      <c r="H69" s="90">
        <f>((F69*G69)/1000000)*2</f>
        <v>4.08E-4</v>
      </c>
      <c r="I69" s="264"/>
      <c r="L69" s="104"/>
    </row>
    <row r="70" spans="1:14" ht="13.2">
      <c r="A70" s="260"/>
      <c r="B70" s="101">
        <f>ROUNDUP((D63/2)+2,0)</f>
        <v>2</v>
      </c>
      <c r="C70" s="102">
        <f>E63+4</f>
        <v>4</v>
      </c>
      <c r="D70" s="103"/>
      <c r="E70" s="89" t="s">
        <v>72</v>
      </c>
      <c r="F70" s="87">
        <f>C63+D63+53</f>
        <v>53</v>
      </c>
      <c r="G70" s="87">
        <f>SUM(B70:C70)</f>
        <v>6</v>
      </c>
      <c r="H70" s="90">
        <f>(F70*G70/1000000)*2</f>
        <v>6.3599999999999996E-4</v>
      </c>
      <c r="I70" s="99">
        <v>500</v>
      </c>
      <c r="L70" s="104"/>
    </row>
    <row r="71" spans="1:14" ht="13.2">
      <c r="A71" s="260"/>
      <c r="B71" s="101">
        <f>ROUNDUP((D63/2)+3,0)</f>
        <v>3</v>
      </c>
      <c r="C71" s="102">
        <f>E63+5</f>
        <v>5</v>
      </c>
      <c r="D71" s="103"/>
      <c r="E71" s="89" t="s">
        <v>72</v>
      </c>
      <c r="F71" s="87">
        <f>C63+D63+55</f>
        <v>55</v>
      </c>
      <c r="G71" s="87">
        <f>SUM(B71:C71)</f>
        <v>8</v>
      </c>
      <c r="H71" s="90">
        <f>(F71*G71/1000000)*2</f>
        <v>8.8000000000000003E-4</v>
      </c>
      <c r="I71" s="6"/>
      <c r="L71" s="104"/>
    </row>
    <row r="72" spans="1:14" ht="13.2">
      <c r="A72" s="260"/>
      <c r="B72" s="101">
        <f>ROUNDUP((D63/2)+4,0)</f>
        <v>4</v>
      </c>
      <c r="C72" s="102">
        <f>E63+7</f>
        <v>7</v>
      </c>
      <c r="D72" s="103"/>
      <c r="E72" s="89" t="s">
        <v>72</v>
      </c>
      <c r="F72" s="87">
        <f>C63+D63+59</f>
        <v>59</v>
      </c>
      <c r="G72" s="87">
        <f>SUM(B72:C72)</f>
        <v>11</v>
      </c>
      <c r="H72" s="90">
        <f>(F72*G72/1000000)*2</f>
        <v>1.2979999999999999E-3</v>
      </c>
      <c r="I72" s="6"/>
      <c r="L72" s="104"/>
    </row>
    <row r="73" spans="1:14" ht="12.9" customHeight="1">
      <c r="L73" s="265" t="s">
        <v>64</v>
      </c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265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47</v>
      </c>
      <c r="G75" s="87">
        <f>SUM(B81:C81)</f>
        <v>4</v>
      </c>
      <c r="H75" s="90">
        <f ca="1">(F75*G75)/1000000</f>
        <v>1.8799999999999999E-4</v>
      </c>
      <c r="I75" s="91">
        <f ca="1">I82/H75</f>
        <v>2659574.4680851065</v>
      </c>
      <c r="J75" s="92">
        <f>C75+D75+20</f>
        <v>20</v>
      </c>
      <c r="K75" s="92">
        <f>E75+D75/2+20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51</v>
      </c>
      <c r="G76" s="87">
        <f>SUM(B82:C82)</f>
        <v>6</v>
      </c>
      <c r="H76" s="93">
        <f ca="1">F76*G76/1000000</f>
        <v>3.0600000000000001E-4</v>
      </c>
      <c r="I76" s="91">
        <f ca="1">I82/H76</f>
        <v>1633986.928104575</v>
      </c>
      <c r="J76" s="92">
        <f>C75+D75+20</f>
        <v>20</v>
      </c>
      <c r="K76" s="92">
        <f>E75+D75/2+20</f>
        <v>20</v>
      </c>
      <c r="L76" s="104"/>
      <c r="N76">
        <f ca="1">IF(((($C$3+$D$3)*2+51)&lt;=2900)*AND($M$3=1),($C$3+$D$3)*2+51,IF(((($C$3+$D$3)*2+51)&gt;=2855),2*F82,($C$3+$D$3)*2+51))</f>
        <v>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55</v>
      </c>
      <c r="G77" s="87">
        <f>SUM(B83:C83)</f>
        <v>8</v>
      </c>
      <c r="H77" s="93">
        <f ca="1">F77*G77/1000000</f>
        <v>4.4000000000000002E-4</v>
      </c>
      <c r="I77" s="91">
        <f ca="1">I82/H77</f>
        <v>1136363.6363636362</v>
      </c>
      <c r="J77" s="92">
        <f>C75+D75+40</f>
        <v>40</v>
      </c>
      <c r="K77" s="92">
        <f>E75+D75/2+40</f>
        <v>40</v>
      </c>
      <c r="L77" s="104"/>
      <c r="N77">
        <f ca="1">IF(((($C$3+$D$3)*2+55)&lt;=2900)*AND($M$3=1),($C$3+$D$3)*2+55,IF(((($C$3+$D$3)*2+55)&gt;=2855),2*F83,($C$3+$D$3)*2+55))</f>
        <v>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63</v>
      </c>
      <c r="G78" s="87">
        <f>SUM(B84:C84)</f>
        <v>11</v>
      </c>
      <c r="H78" s="93">
        <f ca="1">F78*G78/1000000</f>
        <v>6.9300000000000004E-4</v>
      </c>
      <c r="I78" s="91">
        <f ca="1">I82/H78</f>
        <v>721500.72150072141</v>
      </c>
      <c r="J78" s="92">
        <f>C75+D75+40</f>
        <v>40</v>
      </c>
      <c r="K78" s="92">
        <f>E75+D75/2+40</f>
        <v>40</v>
      </c>
      <c r="L78" s="104"/>
      <c r="N78">
        <f ca="1">IF(((($C$3+$D$3)*2+59)&lt;=2900)*AND($M$3=1),($C$3+$D$3)*2+59,IF(((($C$3+$D$3)*2+59)&gt;=2855),2*F84,($C$3+$D$3)*2+59))</f>
        <v>59</v>
      </c>
    </row>
    <row r="79" spans="1:14" ht="13.2">
      <c r="A79" s="260"/>
      <c r="E79" t="s">
        <v>35</v>
      </c>
      <c r="L79" s="104"/>
    </row>
    <row r="80" spans="1:14" ht="13.35" customHeight="1">
      <c r="A80" s="260"/>
      <c r="B80" s="263" t="s">
        <v>71</v>
      </c>
      <c r="C80" s="263"/>
      <c r="D80" s="263"/>
      <c r="F80" s="261" t="s">
        <v>58</v>
      </c>
      <c r="G80" s="261"/>
      <c r="H80" s="87" t="s">
        <v>59</v>
      </c>
      <c r="I80" s="264" t="s">
        <v>63</v>
      </c>
      <c r="L80" s="104"/>
    </row>
    <row r="81" spans="1:14" ht="13.2">
      <c r="A81" s="260"/>
      <c r="B81" s="96">
        <f>ROUNDUP((D75/2)+1,0)</f>
        <v>1</v>
      </c>
      <c r="C81" s="97">
        <f>E75+3</f>
        <v>3</v>
      </c>
      <c r="D81" s="98"/>
      <c r="E81" s="89" t="s">
        <v>72</v>
      </c>
      <c r="F81" s="87">
        <f>C75+D75+51</f>
        <v>51</v>
      </c>
      <c r="G81" s="87">
        <f>SUM(B81:C81)</f>
        <v>4</v>
      </c>
      <c r="H81" s="90">
        <f>((F81*G81)/1000000)*2</f>
        <v>4.08E-4</v>
      </c>
      <c r="I81" s="264"/>
      <c r="L81" s="104"/>
    </row>
    <row r="82" spans="1:14" ht="13.2">
      <c r="A82" s="260"/>
      <c r="B82" s="101">
        <f>ROUNDUP((D75/2)+2,0)</f>
        <v>2</v>
      </c>
      <c r="C82" s="102">
        <f>E75+4</f>
        <v>4</v>
      </c>
      <c r="D82" s="103"/>
      <c r="E82" s="89" t="s">
        <v>72</v>
      </c>
      <c r="F82" s="87">
        <f>C75+D75+53</f>
        <v>53</v>
      </c>
      <c r="G82" s="87">
        <f>SUM(B82:C82)</f>
        <v>6</v>
      </c>
      <c r="H82" s="90">
        <f>(F82*G82/1000000)*2</f>
        <v>6.3599999999999996E-4</v>
      </c>
      <c r="I82" s="99">
        <v>500</v>
      </c>
      <c r="L82" s="104"/>
    </row>
    <row r="83" spans="1:14" ht="13.2">
      <c r="A83" s="260"/>
      <c r="B83" s="101">
        <f>ROUNDUP((D75/2)+3,0)</f>
        <v>3</v>
      </c>
      <c r="C83" s="102">
        <f>E75+5</f>
        <v>5</v>
      </c>
      <c r="D83" s="103"/>
      <c r="E83" s="89" t="s">
        <v>72</v>
      </c>
      <c r="F83" s="87">
        <f>C75+D75+55</f>
        <v>55</v>
      </c>
      <c r="G83" s="87">
        <f>SUM(B83:C83)</f>
        <v>8</v>
      </c>
      <c r="H83" s="90">
        <f>(F83*G83/1000000)*2</f>
        <v>8.8000000000000003E-4</v>
      </c>
      <c r="I83" s="6"/>
      <c r="L83" s="104"/>
    </row>
    <row r="84" spans="1:14" ht="13.2">
      <c r="A84" s="260"/>
      <c r="B84" s="101">
        <f>ROUNDUP((D75/2)+4,0)</f>
        <v>4</v>
      </c>
      <c r="C84" s="102">
        <f>E75+7</f>
        <v>7</v>
      </c>
      <c r="D84" s="103"/>
      <c r="E84" s="89" t="s">
        <v>72</v>
      </c>
      <c r="F84" s="87">
        <f>C75+D75+59</f>
        <v>59</v>
      </c>
      <c r="G84" s="87">
        <f>SUM(B84:C84)</f>
        <v>11</v>
      </c>
      <c r="H84" s="90">
        <f>(F84*G84/1000000)*2</f>
        <v>1.2979999999999999E-3</v>
      </c>
      <c r="I84" s="6"/>
      <c r="L84" s="104"/>
    </row>
    <row r="85" spans="1:14" ht="12.9" customHeight="1">
      <c r="L85" s="265" t="s">
        <v>64</v>
      </c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265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47</v>
      </c>
      <c r="G87" s="87">
        <f>SUM(B93:C93)</f>
        <v>4</v>
      </c>
      <c r="H87" s="90">
        <f ca="1">(F87*G87)/1000000</f>
        <v>1.8799999999999999E-4</v>
      </c>
      <c r="I87" s="91">
        <f ca="1">I94/H87</f>
        <v>2659574.4680851065</v>
      </c>
      <c r="J87" s="92">
        <f>C87+D87+20</f>
        <v>20</v>
      </c>
      <c r="K87" s="92">
        <f>E87+D87/2+20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51</v>
      </c>
      <c r="G88" s="87">
        <f>SUM(B94:C94)</f>
        <v>6</v>
      </c>
      <c r="H88" s="93">
        <f ca="1">F88*G88/1000000</f>
        <v>3.0600000000000001E-4</v>
      </c>
      <c r="I88" s="91">
        <f ca="1">I94/H88</f>
        <v>1633986.928104575</v>
      </c>
      <c r="J88" s="92">
        <f>C87+D87+20</f>
        <v>20</v>
      </c>
      <c r="K88" s="92">
        <f>E87+D87/2+20</f>
        <v>20</v>
      </c>
      <c r="L88" s="104"/>
      <c r="N88">
        <f ca="1">IF(((($C$3+$D$3)*2+51)&lt;=2900)*AND($M$3=1),($C$3+$D$3)*2+51,IF(((($C$3+$D$3)*2+51)&gt;=2855),2*F94,($C$3+$D$3)*2+51))</f>
        <v>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55</v>
      </c>
      <c r="G89" s="87">
        <f>SUM(B95:C95)</f>
        <v>8</v>
      </c>
      <c r="H89" s="93">
        <f ca="1">F89*G89/1000000</f>
        <v>4.4000000000000002E-4</v>
      </c>
      <c r="I89" s="91">
        <f ca="1">I94/H89</f>
        <v>1136363.6363636362</v>
      </c>
      <c r="J89" s="92">
        <f>C87+D87+40</f>
        <v>40</v>
      </c>
      <c r="K89" s="92">
        <f>E87+D87/2+40</f>
        <v>40</v>
      </c>
      <c r="L89" s="104"/>
      <c r="N89">
        <f ca="1">IF(((($C$3+$D$3)*2+55)&lt;=2900)*AND($M$3=1),($C$3+$D$3)*2+55,IF(((($C$3+$D$3)*2+55)&gt;=2855),2*F95,($C$3+$D$3)*2+55))</f>
        <v>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63</v>
      </c>
      <c r="G90" s="87">
        <f>SUM(B96:C96)</f>
        <v>11</v>
      </c>
      <c r="H90" s="93">
        <f ca="1">F90*G90/1000000</f>
        <v>6.9300000000000004E-4</v>
      </c>
      <c r="I90" s="91">
        <f ca="1">I94/H90</f>
        <v>721500.72150072141</v>
      </c>
      <c r="J90" s="92">
        <f>C87+D87+40</f>
        <v>40</v>
      </c>
      <c r="K90" s="92">
        <f>E87+D87/2+40</f>
        <v>40</v>
      </c>
      <c r="L90" s="104"/>
      <c r="N90">
        <f ca="1">IF(((($C$3+$D$3)*2+59)&lt;=2900)*AND($M$3=1),($C$3+$D$3)*2+59,IF(((($C$3+$D$3)*2+59)&gt;=2855),2*F96,($C$3+$D$3)*2+59))</f>
        <v>59</v>
      </c>
    </row>
    <row r="91" spans="1:14" ht="13.2">
      <c r="A91" s="260"/>
      <c r="E91" t="s">
        <v>35</v>
      </c>
      <c r="L91" s="104"/>
    </row>
    <row r="92" spans="1:14" ht="13.35" customHeight="1">
      <c r="A92" s="260"/>
      <c r="B92" s="263" t="s">
        <v>71</v>
      </c>
      <c r="C92" s="263"/>
      <c r="D92" s="263"/>
      <c r="F92" s="261" t="s">
        <v>58</v>
      </c>
      <c r="G92" s="261"/>
      <c r="H92" s="87" t="s">
        <v>59</v>
      </c>
      <c r="I92" s="264" t="s">
        <v>63</v>
      </c>
      <c r="L92" s="104"/>
    </row>
    <row r="93" spans="1:14" ht="13.2">
      <c r="A93" s="260"/>
      <c r="B93" s="96">
        <f>ROUNDUP((D87/2)+1,0)</f>
        <v>1</v>
      </c>
      <c r="C93" s="97">
        <f>E87+3</f>
        <v>3</v>
      </c>
      <c r="D93" s="98"/>
      <c r="E93" s="89" t="s">
        <v>72</v>
      </c>
      <c r="F93" s="87">
        <f>C87+D87+51</f>
        <v>51</v>
      </c>
      <c r="G93" s="87">
        <f>SUM(B93:C93)</f>
        <v>4</v>
      </c>
      <c r="H93" s="90">
        <f>((F93*G93)/1000000)*2</f>
        <v>4.08E-4</v>
      </c>
      <c r="I93" s="264"/>
      <c r="L93" s="104"/>
    </row>
    <row r="94" spans="1:14" ht="13.2">
      <c r="A94" s="260"/>
      <c r="B94" s="101">
        <f>ROUNDUP((D87/2)+2,0)</f>
        <v>2</v>
      </c>
      <c r="C94" s="102">
        <f>E87+4</f>
        <v>4</v>
      </c>
      <c r="D94" s="103"/>
      <c r="E94" s="89" t="s">
        <v>72</v>
      </c>
      <c r="F94" s="87">
        <f>C87+D87+53</f>
        <v>53</v>
      </c>
      <c r="G94" s="87">
        <f>SUM(B94:C94)</f>
        <v>6</v>
      </c>
      <c r="H94" s="90">
        <f>(F94*G94/1000000)*2</f>
        <v>6.3599999999999996E-4</v>
      </c>
      <c r="I94" s="99">
        <v>500</v>
      </c>
      <c r="L94" s="104"/>
    </row>
    <row r="95" spans="1:14" ht="13.2">
      <c r="A95" s="260"/>
      <c r="B95" s="101">
        <f>ROUNDUP((D87/2)+3,0)</f>
        <v>3</v>
      </c>
      <c r="C95" s="102">
        <f>E87+5</f>
        <v>5</v>
      </c>
      <c r="D95" s="103"/>
      <c r="E95" s="89" t="s">
        <v>72</v>
      </c>
      <c r="F95" s="87">
        <f>C87+D87+55</f>
        <v>55</v>
      </c>
      <c r="G95" s="87">
        <f>SUM(B95:C95)</f>
        <v>8</v>
      </c>
      <c r="H95" s="90">
        <f>(F95*G95/1000000)*2</f>
        <v>8.8000000000000003E-4</v>
      </c>
      <c r="I95" s="6"/>
      <c r="L95" s="104"/>
    </row>
    <row r="96" spans="1:14" ht="13.2">
      <c r="A96" s="260"/>
      <c r="B96" s="101">
        <f>ROUNDUP((D87/2)+4,0)</f>
        <v>4</v>
      </c>
      <c r="C96" s="102">
        <f>E87+7</f>
        <v>7</v>
      </c>
      <c r="D96" s="103"/>
      <c r="E96" s="89" t="s">
        <v>72</v>
      </c>
      <c r="F96" s="87">
        <f>C87+D87+59</f>
        <v>59</v>
      </c>
      <c r="G96" s="87">
        <f>SUM(B96:C96)</f>
        <v>11</v>
      </c>
      <c r="H96" s="90">
        <f>(F96*G96/1000000)*2</f>
        <v>1.2979999999999999E-3</v>
      </c>
      <c r="I96" s="6"/>
      <c r="L96" s="104"/>
    </row>
    <row r="97" spans="1:14" ht="12.9" customHeight="1">
      <c r="L97" s="265" t="s">
        <v>64</v>
      </c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265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47</v>
      </c>
      <c r="G99" s="87">
        <f>SUM(B105:C105)</f>
        <v>4</v>
      </c>
      <c r="H99" s="90">
        <f ca="1">(F99*G99)/1000000</f>
        <v>1.8799999999999999E-4</v>
      </c>
      <c r="I99" s="91">
        <f ca="1">I106/H99</f>
        <v>2659574.4680851065</v>
      </c>
      <c r="J99" s="92">
        <f>C99+D99+20</f>
        <v>20</v>
      </c>
      <c r="K99" s="92">
        <f>E99+D99/2+20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51</v>
      </c>
      <c r="G100" s="87">
        <f>SUM(B106:C106)</f>
        <v>6</v>
      </c>
      <c r="H100" s="93">
        <f ca="1">F100*G100/1000000</f>
        <v>3.0600000000000001E-4</v>
      </c>
      <c r="I100" s="91">
        <f ca="1">I106/H100</f>
        <v>1633986.928104575</v>
      </c>
      <c r="J100" s="92">
        <f>C99+D99+20</f>
        <v>20</v>
      </c>
      <c r="K100" s="92">
        <f>E99+D99/2+20</f>
        <v>20</v>
      </c>
      <c r="L100" s="104"/>
      <c r="N100">
        <f ca="1">IF(((($C$3+$D$3)*2+51)&lt;=2900)*AND($M$3=1),($C$3+$D$3)*2+51,IF(((($C$3+$D$3)*2+51)&gt;=2855),2*F106,($C$3+$D$3)*2+51))</f>
        <v>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55</v>
      </c>
      <c r="G101" s="87">
        <f>SUM(B107:C107)</f>
        <v>8</v>
      </c>
      <c r="H101" s="93">
        <f ca="1">F101*G101/1000000</f>
        <v>4.4000000000000002E-4</v>
      </c>
      <c r="I101" s="91">
        <f ca="1">I106/H101</f>
        <v>1136363.6363636362</v>
      </c>
      <c r="J101" s="92">
        <f>C99+D99+40</f>
        <v>40</v>
      </c>
      <c r="K101" s="92">
        <f>E99+D99/2+40</f>
        <v>40</v>
      </c>
      <c r="L101" s="104"/>
      <c r="N101">
        <f ca="1">IF(((($C$3+$D$3)*2+55)&lt;=2900)*AND($M$3=1),($C$3+$D$3)*2+55,IF(((($C$3+$D$3)*2+55)&gt;=2855),2*F107,($C$3+$D$3)*2+55))</f>
        <v>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63</v>
      </c>
      <c r="G102" s="87">
        <f>SUM(B108:C108)</f>
        <v>11</v>
      </c>
      <c r="H102" s="93">
        <f ca="1">F102*G102/1000000</f>
        <v>6.9300000000000004E-4</v>
      </c>
      <c r="I102" s="91">
        <f ca="1">I106/H102</f>
        <v>721500.72150072141</v>
      </c>
      <c r="J102" s="92">
        <f>C99+D99+40</f>
        <v>40</v>
      </c>
      <c r="K102" s="92">
        <f>E99+D99/2+40</f>
        <v>40</v>
      </c>
      <c r="L102" s="104"/>
      <c r="N102">
        <f ca="1">IF(((($C$3+$D$3)*2+59)&lt;=2900)*AND($M$3=1),($C$3+$D$3)*2+59,IF(((($C$3+$D$3)*2+59)&gt;=2855),2*F108,($C$3+$D$3)*2+59))</f>
        <v>59</v>
      </c>
    </row>
    <row r="103" spans="1:14" ht="13.2">
      <c r="A103" s="260"/>
      <c r="E103" t="s">
        <v>35</v>
      </c>
      <c r="L103" s="104"/>
    </row>
    <row r="104" spans="1:14" ht="13.35" customHeight="1">
      <c r="A104" s="260"/>
      <c r="B104" s="263" t="s">
        <v>71</v>
      </c>
      <c r="C104" s="263"/>
      <c r="D104" s="263"/>
      <c r="F104" s="261" t="s">
        <v>58</v>
      </c>
      <c r="G104" s="261"/>
      <c r="H104" s="87" t="s">
        <v>59</v>
      </c>
      <c r="I104" s="264" t="s">
        <v>63</v>
      </c>
      <c r="L104" s="104"/>
    </row>
    <row r="105" spans="1:14" ht="13.2">
      <c r="A105" s="260"/>
      <c r="B105" s="96">
        <f>ROUNDUP((D99/2)+1,0)</f>
        <v>1</v>
      </c>
      <c r="C105" s="97">
        <f>E99+3</f>
        <v>3</v>
      </c>
      <c r="D105" s="98"/>
      <c r="E105" s="89" t="s">
        <v>72</v>
      </c>
      <c r="F105" s="87">
        <f>C99+D99+51</f>
        <v>51</v>
      </c>
      <c r="G105" s="87">
        <f>SUM(B105:C105)</f>
        <v>4</v>
      </c>
      <c r="H105" s="90">
        <f>((F105*G105)/1000000)*2</f>
        <v>4.08E-4</v>
      </c>
      <c r="I105" s="264"/>
      <c r="L105" s="104"/>
    </row>
    <row r="106" spans="1:14" ht="13.2">
      <c r="A106" s="260"/>
      <c r="B106" s="101">
        <f>ROUNDUP((D99/2)+2,0)</f>
        <v>2</v>
      </c>
      <c r="C106" s="102">
        <f>E99+4</f>
        <v>4</v>
      </c>
      <c r="D106" s="103"/>
      <c r="E106" s="89" t="s">
        <v>72</v>
      </c>
      <c r="F106" s="87">
        <f>C99+D99+53</f>
        <v>53</v>
      </c>
      <c r="G106" s="87">
        <f>SUM(B106:C106)</f>
        <v>6</v>
      </c>
      <c r="H106" s="90">
        <f>(F106*G106/1000000)*2</f>
        <v>6.3599999999999996E-4</v>
      </c>
      <c r="I106" s="99">
        <v>500</v>
      </c>
      <c r="L106" s="104"/>
    </row>
    <row r="107" spans="1:14" ht="13.2">
      <c r="A107" s="260"/>
      <c r="B107" s="101">
        <f>ROUNDUP((D99/2)+3,0)</f>
        <v>3</v>
      </c>
      <c r="C107" s="102">
        <f>E99+5</f>
        <v>5</v>
      </c>
      <c r="D107" s="103"/>
      <c r="E107" s="89" t="s">
        <v>72</v>
      </c>
      <c r="F107" s="87">
        <f>C99+D99+55</f>
        <v>55</v>
      </c>
      <c r="G107" s="87">
        <f>SUM(B107:C107)</f>
        <v>8</v>
      </c>
      <c r="H107" s="90">
        <f>(F107*G107/1000000)*2</f>
        <v>8.8000000000000003E-4</v>
      </c>
      <c r="I107" s="6"/>
      <c r="L107" s="104"/>
    </row>
    <row r="108" spans="1:14" ht="13.2">
      <c r="A108" s="260"/>
      <c r="B108" s="101">
        <f>ROUNDUP((D99/2)+4,0)</f>
        <v>4</v>
      </c>
      <c r="C108" s="102">
        <f>E99+7</f>
        <v>7</v>
      </c>
      <c r="D108" s="103"/>
      <c r="E108" s="89" t="s">
        <v>72</v>
      </c>
      <c r="F108" s="87">
        <f>C99+D99+59</f>
        <v>59</v>
      </c>
      <c r="G108" s="87">
        <f>SUM(B108:C108)</f>
        <v>11</v>
      </c>
      <c r="H108" s="90">
        <f>(F108*G108/1000000)*2</f>
        <v>1.2979999999999999E-3</v>
      </c>
      <c r="I108" s="6"/>
      <c r="L108" s="104"/>
    </row>
    <row r="109" spans="1:14" ht="12.9" customHeight="1">
      <c r="L109" s="265" t="s">
        <v>64</v>
      </c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265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47</v>
      </c>
      <c r="G111" s="87">
        <f>SUM(B117:C117)</f>
        <v>4</v>
      </c>
      <c r="H111" s="90">
        <f ca="1">(F111*G111)/1000000</f>
        <v>1.8799999999999999E-4</v>
      </c>
      <c r="I111" s="91">
        <f ca="1">I118/H111</f>
        <v>2659574.4680851065</v>
      </c>
      <c r="J111" s="92">
        <f>C111+D111+20</f>
        <v>20</v>
      </c>
      <c r="K111" s="92">
        <f>E111+D111/2+20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51</v>
      </c>
      <c r="G112" s="87">
        <f>SUM(B118:C118)</f>
        <v>6</v>
      </c>
      <c r="H112" s="93">
        <f ca="1">F112*G112/1000000</f>
        <v>3.0600000000000001E-4</v>
      </c>
      <c r="I112" s="91">
        <f ca="1">I118/H112</f>
        <v>1633986.928104575</v>
      </c>
      <c r="J112" s="92">
        <f>C111+D111+20</f>
        <v>20</v>
      </c>
      <c r="K112" s="92">
        <f>E111+D111/2+20</f>
        <v>20</v>
      </c>
      <c r="L112" s="104"/>
      <c r="N112">
        <f ca="1">IF(((($C$3+$D$3)*2+51)&lt;=2900)*AND($M$3=1),($C$3+$D$3)*2+51,IF(((($C$3+$D$3)*2+51)&gt;=2855),2*F118,($C$3+$D$3)*2+51))</f>
        <v>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55</v>
      </c>
      <c r="G113" s="87">
        <f>SUM(B119:C119)</f>
        <v>8</v>
      </c>
      <c r="H113" s="93">
        <f ca="1">F113*G113/1000000</f>
        <v>4.4000000000000002E-4</v>
      </c>
      <c r="I113" s="91">
        <f ca="1">I118/H113</f>
        <v>1136363.6363636362</v>
      </c>
      <c r="J113" s="92">
        <f>C111+D111+40</f>
        <v>40</v>
      </c>
      <c r="K113" s="92">
        <f>E111+D111/2+40</f>
        <v>40</v>
      </c>
      <c r="L113" s="104"/>
      <c r="N113">
        <f ca="1">IF(((($C$3+$D$3)*2+55)&lt;=2900)*AND($M$3=1),($C$3+$D$3)*2+55,IF(((($C$3+$D$3)*2+55)&gt;=2855),2*F119,($C$3+$D$3)*2+55))</f>
        <v>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63</v>
      </c>
      <c r="G114" s="87">
        <f>SUM(B120:C120)</f>
        <v>11</v>
      </c>
      <c r="H114" s="93">
        <f ca="1">F114*G114/1000000</f>
        <v>6.9300000000000004E-4</v>
      </c>
      <c r="I114" s="91">
        <f ca="1">I118/H114</f>
        <v>721500.72150072141</v>
      </c>
      <c r="J114" s="92">
        <f>C111+D111+40</f>
        <v>40</v>
      </c>
      <c r="K114" s="92">
        <f>E111+D111/2+40</f>
        <v>40</v>
      </c>
      <c r="L114" s="104"/>
      <c r="N114">
        <f ca="1">IF(((($C$3+$D$3)*2+59)&lt;=2900)*AND($M$3=1),($C$3+$D$3)*2+59,IF(((($C$3+$D$3)*2+59)&gt;=2855),2*F120,($C$3+$D$3)*2+59))</f>
        <v>59</v>
      </c>
    </row>
    <row r="115" spans="1:14" ht="13.2">
      <c r="A115" s="260"/>
      <c r="E115" t="s">
        <v>35</v>
      </c>
      <c r="L115" s="104"/>
    </row>
    <row r="116" spans="1:14" ht="13.35" customHeight="1">
      <c r="A116" s="260"/>
      <c r="B116" s="263" t="s">
        <v>71</v>
      </c>
      <c r="C116" s="263"/>
      <c r="D116" s="263"/>
      <c r="F116" s="261" t="s">
        <v>58</v>
      </c>
      <c r="G116" s="261"/>
      <c r="H116" s="87" t="s">
        <v>59</v>
      </c>
      <c r="I116" s="264" t="s">
        <v>63</v>
      </c>
      <c r="L116" s="104"/>
    </row>
    <row r="117" spans="1:14" ht="13.2">
      <c r="A117" s="260"/>
      <c r="B117" s="96">
        <f>ROUNDUP((D111/2)+1,0)</f>
        <v>1</v>
      </c>
      <c r="C117" s="97">
        <f>E111+3</f>
        <v>3</v>
      </c>
      <c r="D117" s="98"/>
      <c r="E117" s="89" t="s">
        <v>72</v>
      </c>
      <c r="F117" s="87">
        <f>C111+D111+51</f>
        <v>51</v>
      </c>
      <c r="G117" s="87">
        <f>SUM(B117:C117)</f>
        <v>4</v>
      </c>
      <c r="H117" s="90">
        <f>((F117*G117)/1000000)*2</f>
        <v>4.08E-4</v>
      </c>
      <c r="I117" s="264"/>
      <c r="L117" s="104"/>
    </row>
    <row r="118" spans="1:14" ht="13.2">
      <c r="A118" s="260"/>
      <c r="B118" s="101">
        <f>ROUNDUP((D111/2)+2,0)</f>
        <v>2</v>
      </c>
      <c r="C118" s="102">
        <f>E111+4</f>
        <v>4</v>
      </c>
      <c r="D118" s="103"/>
      <c r="E118" s="89" t="s">
        <v>72</v>
      </c>
      <c r="F118" s="87">
        <f>C111+D111+53</f>
        <v>53</v>
      </c>
      <c r="G118" s="87">
        <f>SUM(B118:C118)</f>
        <v>6</v>
      </c>
      <c r="H118" s="90">
        <f>(F118*G118/1000000)*2</f>
        <v>6.3599999999999996E-4</v>
      </c>
      <c r="I118" s="99">
        <v>500</v>
      </c>
      <c r="L118" s="104"/>
    </row>
    <row r="119" spans="1:14" ht="13.2">
      <c r="A119" s="260"/>
      <c r="B119" s="101">
        <f>ROUNDUP((D111/2)+3,0)</f>
        <v>3</v>
      </c>
      <c r="C119" s="102">
        <f>E111+5</f>
        <v>5</v>
      </c>
      <c r="D119" s="103"/>
      <c r="E119" s="89" t="s">
        <v>72</v>
      </c>
      <c r="F119" s="87">
        <f>C111+D111+55</f>
        <v>55</v>
      </c>
      <c r="G119" s="87">
        <f>SUM(B119:C119)</f>
        <v>8</v>
      </c>
      <c r="H119" s="90">
        <f>(F119*G119/1000000)*2</f>
        <v>8.8000000000000003E-4</v>
      </c>
      <c r="I119" s="6"/>
      <c r="L119" s="104"/>
    </row>
    <row r="120" spans="1:14" ht="13.2">
      <c r="A120" s="260"/>
      <c r="B120" s="101">
        <f>ROUNDUP((D111/2)+4,0)</f>
        <v>4</v>
      </c>
      <c r="C120" s="102">
        <f>E111+7</f>
        <v>7</v>
      </c>
      <c r="D120" s="103"/>
      <c r="E120" s="89" t="s">
        <v>72</v>
      </c>
      <c r="F120" s="87">
        <f>C111+D111+59</f>
        <v>59</v>
      </c>
      <c r="G120" s="87">
        <f>SUM(B120:C120)</f>
        <v>11</v>
      </c>
      <c r="H120" s="90">
        <f>(F120*G120/1000000)*2</f>
        <v>1.2979999999999999E-3</v>
      </c>
      <c r="I120" s="6"/>
      <c r="L120" s="106"/>
    </row>
  </sheetData>
  <mergeCells count="80">
    <mergeCell ref="L1:L2"/>
    <mergeCell ref="M1:M2"/>
    <mergeCell ref="A2:A12"/>
    <mergeCell ref="F2:G2"/>
    <mergeCell ref="J2:K2"/>
    <mergeCell ref="B8:D8"/>
    <mergeCell ref="F8:G8"/>
    <mergeCell ref="I8:I9"/>
    <mergeCell ref="L13:L14"/>
    <mergeCell ref="M13:M14"/>
    <mergeCell ref="A14:A24"/>
    <mergeCell ref="F14:G14"/>
    <mergeCell ref="J14:K14"/>
    <mergeCell ref="B20:D20"/>
    <mergeCell ref="F20:G20"/>
    <mergeCell ref="I20:I21"/>
    <mergeCell ref="L25:L26"/>
    <mergeCell ref="M25:M26"/>
    <mergeCell ref="A26:A36"/>
    <mergeCell ref="F26:G26"/>
    <mergeCell ref="J26:K26"/>
    <mergeCell ref="B32:D32"/>
    <mergeCell ref="F32:G32"/>
    <mergeCell ref="I32:I33"/>
    <mergeCell ref="L37:L38"/>
    <mergeCell ref="M37:M38"/>
    <mergeCell ref="A38:A48"/>
    <mergeCell ref="F38:G38"/>
    <mergeCell ref="J38:K38"/>
    <mergeCell ref="B44:D44"/>
    <mergeCell ref="F44:G44"/>
    <mergeCell ref="I44:I45"/>
    <mergeCell ref="L49:L50"/>
    <mergeCell ref="M49:M50"/>
    <mergeCell ref="A50:A60"/>
    <mergeCell ref="F50:G50"/>
    <mergeCell ref="J50:K50"/>
    <mergeCell ref="B56:D56"/>
    <mergeCell ref="F56:G56"/>
    <mergeCell ref="I56:I57"/>
    <mergeCell ref="L61:L62"/>
    <mergeCell ref="M61:M62"/>
    <mergeCell ref="A62:A72"/>
    <mergeCell ref="F62:G62"/>
    <mergeCell ref="J62:K62"/>
    <mergeCell ref="B68:D68"/>
    <mergeCell ref="F68:G68"/>
    <mergeCell ref="I68:I69"/>
    <mergeCell ref="L73:L74"/>
    <mergeCell ref="M73:M74"/>
    <mergeCell ref="A74:A84"/>
    <mergeCell ref="F74:G74"/>
    <mergeCell ref="J74:K74"/>
    <mergeCell ref="B80:D80"/>
    <mergeCell ref="F80:G80"/>
    <mergeCell ref="I80:I81"/>
    <mergeCell ref="L85:L86"/>
    <mergeCell ref="M85:M86"/>
    <mergeCell ref="A86:A96"/>
    <mergeCell ref="F86:G86"/>
    <mergeCell ref="J86:K86"/>
    <mergeCell ref="B92:D92"/>
    <mergeCell ref="F92:G92"/>
    <mergeCell ref="I92:I93"/>
    <mergeCell ref="L97:L98"/>
    <mergeCell ref="M97:M98"/>
    <mergeCell ref="A98:A108"/>
    <mergeCell ref="F98:G98"/>
    <mergeCell ref="J98:K98"/>
    <mergeCell ref="B104:D104"/>
    <mergeCell ref="F104:G104"/>
    <mergeCell ref="I104:I105"/>
    <mergeCell ref="L109:L110"/>
    <mergeCell ref="M109:M110"/>
    <mergeCell ref="A110:A120"/>
    <mergeCell ref="F110:G110"/>
    <mergeCell ref="J110:K110"/>
    <mergeCell ref="B116:D116"/>
    <mergeCell ref="F116:G116"/>
    <mergeCell ref="I116:I117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  <pageSetUpPr fitToPage="1"/>
  </sheetPr>
  <dimension ref="A1:N120"/>
  <sheetViews>
    <sheetView zoomScale="74" zoomScaleNormal="74" workbookViewId="0">
      <selection activeCell="J3" sqref="J3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 ca="1">IF(((($C$3+$D$3)*2+47)&lt;=2900)*AND($M$3=1),($C$3+$D$3)*2+47,IF(((($C$3+$D$3)*2+47)&gt;=2855),2*F9,($C$3+$D$3)*2+47))</f>
        <v>47</v>
      </c>
      <c r="G3" s="87">
        <f>SUM(B9:D9)</f>
        <v>8</v>
      </c>
      <c r="H3" s="90">
        <f ca="1">(F3*G3)/1000000</f>
        <v>3.7599999999999998E-4</v>
      </c>
      <c r="I3" s="91">
        <f ca="1">I10/H3</f>
        <v>1329787.2340425532</v>
      </c>
      <c r="J3" s="92">
        <f>C3+D3+20</f>
        <v>20</v>
      </c>
      <c r="K3" s="92">
        <f>D3+E3+20</f>
        <v>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51</v>
      </c>
      <c r="G4" s="87">
        <f>SUM(B10:D10)</f>
        <v>12</v>
      </c>
      <c r="H4" s="93">
        <f ca="1">F4*G4/1000000</f>
        <v>6.1200000000000002E-4</v>
      </c>
      <c r="I4" s="91">
        <f ca="1">I10/H4</f>
        <v>816993.46405228751</v>
      </c>
      <c r="J4" s="92">
        <f>C3+D3+20</f>
        <v>20</v>
      </c>
      <c r="K4" s="92">
        <f>D3+E3+20</f>
        <v>20</v>
      </c>
      <c r="L4" s="104"/>
      <c r="M4" s="105"/>
      <c r="N4">
        <f ca="1">IF(((($C$3+$D$3)*2+51)&lt;=2900)*AND($M$3=1),($C$3+$D$3)*2+51,IF(((($C$3+$D$3)*2+51)&gt;=2855),2*F10,($C$3+$D$3)*2+51))</f>
        <v>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55</v>
      </c>
      <c r="G5" s="87">
        <f>SUM(B11:D11)</f>
        <v>16</v>
      </c>
      <c r="H5" s="93">
        <f ca="1">F5*G5/1000000</f>
        <v>8.8000000000000003E-4</v>
      </c>
      <c r="I5" s="91">
        <f ca="1">I10/H5</f>
        <v>568181.81818181812</v>
      </c>
      <c r="J5" s="92">
        <f>C3+D3+40</f>
        <v>40</v>
      </c>
      <c r="K5" s="92">
        <f>D3+E3+40</f>
        <v>40</v>
      </c>
      <c r="L5" s="104"/>
      <c r="N5">
        <f ca="1">IF(((($C$3+$D$3)*2+55)&lt;=2900)*AND($M$3=1),($C$3+$D$3)*2+55,IF(((($C$3+$D$3)*2+55)&gt;=2855),2*F11,($C$3+$D$3)*2+55))</f>
        <v>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63</v>
      </c>
      <c r="G6" s="87">
        <f>SUM(B12:D12)</f>
        <v>22</v>
      </c>
      <c r="H6" s="93">
        <f ca="1">F6*G6/1000000</f>
        <v>1.3860000000000001E-3</v>
      </c>
      <c r="I6" s="91">
        <f ca="1">I10/H6</f>
        <v>360750.36075036071</v>
      </c>
      <c r="J6" s="92">
        <f>C3+D3+40</f>
        <v>40</v>
      </c>
      <c r="K6" s="92">
        <f>D3+E3+40</f>
        <v>40</v>
      </c>
      <c r="L6" s="104"/>
      <c r="M6" s="107"/>
      <c r="N6">
        <f ca="1">IF(((($C$3+$D$3)*2+59)&lt;=2900)*AND($M$3=1),($C$3+$D$3)*2+59,IF(((($C$3+$D$3)*2+59)&gt;=2855),2*F12,($C$3+$D$3)*2+59))</f>
        <v>59</v>
      </c>
    </row>
    <row r="7" spans="1:14" ht="13.2">
      <c r="A7" s="260"/>
      <c r="E7" t="s">
        <v>35</v>
      </c>
      <c r="L7" s="104"/>
    </row>
    <row r="8" spans="1:14" ht="21.6" customHeight="1">
      <c r="A8" s="260"/>
      <c r="B8" s="263" t="s">
        <v>71</v>
      </c>
      <c r="C8" s="263"/>
      <c r="D8" s="263"/>
      <c r="F8" s="261" t="s">
        <v>58</v>
      </c>
      <c r="G8" s="261"/>
      <c r="H8" s="87" t="s">
        <v>59</v>
      </c>
      <c r="I8" s="95" t="s">
        <v>63</v>
      </c>
      <c r="L8" s="104"/>
    </row>
    <row r="9" spans="1:14" ht="13.2">
      <c r="A9" s="260"/>
      <c r="B9" s="96">
        <f>ROUNDUP((D3/2)+1,0)</f>
        <v>1</v>
      </c>
      <c r="C9" s="97">
        <f>E3+6</f>
        <v>6</v>
      </c>
      <c r="D9" s="98">
        <f>ROUNDUP((D3/2)+1,0)</f>
        <v>1</v>
      </c>
      <c r="E9" s="89" t="s">
        <v>72</v>
      </c>
      <c r="F9" s="87">
        <f>C3+D3+51</f>
        <v>51</v>
      </c>
      <c r="G9" s="87">
        <f>SUM(B9:D9)</f>
        <v>8</v>
      </c>
      <c r="H9" s="90">
        <f>((F9*G9)/1000000)*2</f>
        <v>8.1599999999999999E-4</v>
      </c>
      <c r="I9" s="100"/>
      <c r="L9" s="104"/>
    </row>
    <row r="10" spans="1:14" ht="13.2">
      <c r="A10" s="260"/>
      <c r="B10" s="101">
        <f>ROUNDUP((D3/2)+2,0)</f>
        <v>2</v>
      </c>
      <c r="C10" s="102">
        <f>E3+8</f>
        <v>8</v>
      </c>
      <c r="D10" s="103">
        <f>ROUNDUP((D3/2)+2,0)</f>
        <v>2</v>
      </c>
      <c r="E10" s="89" t="s">
        <v>72</v>
      </c>
      <c r="F10" s="87">
        <f>C3+D3+53</f>
        <v>53</v>
      </c>
      <c r="G10" s="87">
        <f>SUM(B10:D10)</f>
        <v>12</v>
      </c>
      <c r="H10" s="90">
        <f>((F10*G10)/1000000)*2</f>
        <v>1.2719999999999999E-3</v>
      </c>
      <c r="I10" s="99">
        <v>500</v>
      </c>
      <c r="L10" s="104"/>
    </row>
    <row r="11" spans="1:14" ht="13.2">
      <c r="A11" s="260"/>
      <c r="B11" s="101">
        <f>ROUNDUP((D3/2)+3,0)</f>
        <v>3</v>
      </c>
      <c r="C11" s="102">
        <f>E3+10</f>
        <v>10</v>
      </c>
      <c r="D11" s="103">
        <f>ROUNDUP((D3/2)+3,0)</f>
        <v>3</v>
      </c>
      <c r="E11" s="89" t="s">
        <v>72</v>
      </c>
      <c r="F11" s="87">
        <f>C3+D3+55</f>
        <v>55</v>
      </c>
      <c r="G11" s="87">
        <f>SUM(B11:D11)</f>
        <v>16</v>
      </c>
      <c r="H11" s="90">
        <f>((F11*G11)/1000000)*2</f>
        <v>1.7600000000000001E-3</v>
      </c>
      <c r="I11" s="6"/>
      <c r="L11" s="104"/>
    </row>
    <row r="12" spans="1:14" ht="13.2">
      <c r="A12" s="260"/>
      <c r="B12" s="101">
        <f>ROUNDUP((D3/2)+4,0)</f>
        <v>4</v>
      </c>
      <c r="C12" s="102">
        <f>E3+14</f>
        <v>14</v>
      </c>
      <c r="D12" s="103">
        <f>ROUNDUP((D3/2)+4,0)</f>
        <v>4</v>
      </c>
      <c r="E12" s="89" t="s">
        <v>72</v>
      </c>
      <c r="F12" s="87">
        <f>C3+D3+59</f>
        <v>59</v>
      </c>
      <c r="G12" s="87">
        <f>SUM(B12:D12)</f>
        <v>22</v>
      </c>
      <c r="H12" s="90">
        <f>((F12*G12)/1000000)*2</f>
        <v>2.5959999999999998E-3</v>
      </c>
      <c r="I12" s="6"/>
      <c r="L12" s="104"/>
    </row>
    <row r="13" spans="1:14" ht="12.9" customHeight="1">
      <c r="L13" s="104"/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47</v>
      </c>
      <c r="G15" s="87">
        <f>SUM(B21:D21)</f>
        <v>8</v>
      </c>
      <c r="H15" s="90">
        <f ca="1">(F15*G15)/1000000</f>
        <v>3.7599999999999998E-4</v>
      </c>
      <c r="I15" s="91">
        <f ca="1">I22/H15</f>
        <v>1329787.2340425532</v>
      </c>
      <c r="J15" s="92">
        <f>C15+D15+20</f>
        <v>20</v>
      </c>
      <c r="K15" s="92">
        <f>D15+E15+20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51</v>
      </c>
      <c r="G16" s="87">
        <f>SUM(B22:D22)</f>
        <v>12</v>
      </c>
      <c r="H16" s="93">
        <f ca="1">F16*G16/1000000</f>
        <v>6.1200000000000002E-4</v>
      </c>
      <c r="I16" s="91">
        <f ca="1">I22/H16</f>
        <v>816993.46405228751</v>
      </c>
      <c r="J16" s="92">
        <f>C15+D15+20</f>
        <v>20</v>
      </c>
      <c r="K16" s="92">
        <f>D15+E15+20</f>
        <v>20</v>
      </c>
      <c r="L16" s="104"/>
      <c r="N16">
        <f ca="1">IF(((($C$3+$D$3)*2+51)&lt;=2900)*AND($M$3=1),($C$3+$D$3)*2+51,IF(((($C$3+$D$3)*2+51)&gt;=2855),2*F22,($C$3+$D$3)*2+51))</f>
        <v>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55</v>
      </c>
      <c r="G17" s="87">
        <f>SUM(B23:D23)</f>
        <v>16</v>
      </c>
      <c r="H17" s="93">
        <f ca="1">F17*G17/1000000</f>
        <v>8.8000000000000003E-4</v>
      </c>
      <c r="I17" s="91">
        <f ca="1">I22/H17</f>
        <v>568181.81818181812</v>
      </c>
      <c r="J17" s="92">
        <f>C15+D15+40</f>
        <v>40</v>
      </c>
      <c r="K17" s="92">
        <f>D15+E15+40</f>
        <v>40</v>
      </c>
      <c r="L17" s="104"/>
      <c r="N17">
        <f ca="1">IF(((($C$3+$D$3)*2+55)&lt;=2900)*AND($M$3=1),($C$3+$D$3)*2+55,IF(((($C$3+$D$3)*2+55)&gt;=2855),2*F23,($C$3+$D$3)*2+55))</f>
        <v>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63</v>
      </c>
      <c r="G18" s="87">
        <f>SUM(B24:D24)</f>
        <v>22</v>
      </c>
      <c r="H18" s="93">
        <f ca="1">F18*G18/1000000</f>
        <v>1.3860000000000001E-3</v>
      </c>
      <c r="I18" s="91">
        <f ca="1">I22/H18</f>
        <v>360750.36075036071</v>
      </c>
      <c r="J18" s="92">
        <f>C15+D15+40</f>
        <v>40</v>
      </c>
      <c r="K18" s="92">
        <f>D15+E15+40</f>
        <v>40</v>
      </c>
      <c r="L18" s="104"/>
      <c r="N18">
        <f ca="1">IF(((($C$3+$D$3)*2+59)&lt;=2900)*AND($M$3=1),($C$3+$D$3)*2+59,IF(((($C$3+$D$3)*2+59)&gt;=2855),2*F24,($C$3+$D$3)*2+59))</f>
        <v>59</v>
      </c>
    </row>
    <row r="19" spans="1:14" ht="13.2">
      <c r="A19" s="260"/>
      <c r="E19" t="s">
        <v>35</v>
      </c>
      <c r="L19" s="104"/>
    </row>
    <row r="20" spans="1:14" ht="21.6" customHeight="1">
      <c r="A20" s="260"/>
      <c r="B20" s="263" t="s">
        <v>71</v>
      </c>
      <c r="C20" s="263"/>
      <c r="D20" s="263"/>
      <c r="F20" s="261" t="s">
        <v>58</v>
      </c>
      <c r="G20" s="261"/>
      <c r="H20" s="87" t="s">
        <v>59</v>
      </c>
      <c r="I20" s="95" t="s">
        <v>63</v>
      </c>
      <c r="L20" s="104"/>
    </row>
    <row r="21" spans="1:14" ht="13.2">
      <c r="A21" s="260"/>
      <c r="B21" s="96">
        <f>ROUNDUP((D15/2)+1,0)</f>
        <v>1</v>
      </c>
      <c r="C21" s="97">
        <f>E15+6</f>
        <v>6</v>
      </c>
      <c r="D21" s="98">
        <f>ROUNDUP((D15/2)+1,0)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4" ht="13.2">
      <c r="A22" s="260"/>
      <c r="B22" s="101">
        <f>ROUNDUP((D15/2)+2,0)</f>
        <v>2</v>
      </c>
      <c r="C22" s="102">
        <f>E15+8</f>
        <v>8</v>
      </c>
      <c r="D22" s="103">
        <f>ROUNDUP((D15/2)+2,0)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4" ht="13.2">
      <c r="A23" s="260"/>
      <c r="B23" s="101">
        <f>ROUNDUP((D15/2)+3,0)</f>
        <v>3</v>
      </c>
      <c r="C23" s="102">
        <f>E15+10</f>
        <v>10</v>
      </c>
      <c r="D23" s="103">
        <f>ROUNDUP((D15/2)+3,0)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4" ht="13.2">
      <c r="A24" s="260"/>
      <c r="B24" s="101">
        <f>ROUNDUP((D15/2)+4,0)</f>
        <v>4</v>
      </c>
      <c r="C24" s="102">
        <f>E15+14</f>
        <v>14</v>
      </c>
      <c r="D24" s="103">
        <f>ROUNDUP((D15/2)+4,0)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4" ht="12.9" customHeight="1">
      <c r="L25" s="104"/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47</v>
      </c>
      <c r="G27" s="87">
        <f>SUM(B33:D33)</f>
        <v>8</v>
      </c>
      <c r="H27" s="90">
        <f ca="1">(F27*G27)/1000000</f>
        <v>3.7599999999999998E-4</v>
      </c>
      <c r="I27" s="91">
        <f ca="1">I34/H27</f>
        <v>1329787.2340425532</v>
      </c>
      <c r="J27" s="92">
        <f>C27+D27+20</f>
        <v>20</v>
      </c>
      <c r="K27" s="92">
        <f>D27+E27+20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51</v>
      </c>
      <c r="G28" s="87">
        <f>SUM(B34:D34)</f>
        <v>12</v>
      </c>
      <c r="H28" s="93">
        <f ca="1">F28*G28/1000000</f>
        <v>6.1200000000000002E-4</v>
      </c>
      <c r="I28" s="91">
        <f ca="1">I34/H28</f>
        <v>816993.46405228751</v>
      </c>
      <c r="J28" s="92">
        <f>C27+D27+20</f>
        <v>20</v>
      </c>
      <c r="K28" s="92">
        <f>D27+E27+20</f>
        <v>20</v>
      </c>
      <c r="L28" s="104"/>
      <c r="N28">
        <f ca="1">IF(((($C$3+$D$3)*2+51)&lt;=2900)*AND($M$3=1),($C$3+$D$3)*2+51,IF(((($C$3+$D$3)*2+51)&gt;=2855),2*F34,($C$3+$D$3)*2+51))</f>
        <v>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55</v>
      </c>
      <c r="G29" s="87">
        <f>SUM(B35:D35)</f>
        <v>16</v>
      </c>
      <c r="H29" s="93">
        <f ca="1">F29*G29/1000000</f>
        <v>8.8000000000000003E-4</v>
      </c>
      <c r="I29" s="91">
        <f ca="1">I34/H29</f>
        <v>568181.81818181812</v>
      </c>
      <c r="J29" s="92">
        <f>C27+D27+40</f>
        <v>40</v>
      </c>
      <c r="K29" s="92">
        <f>D27+E27+40</f>
        <v>40</v>
      </c>
      <c r="L29" s="104"/>
      <c r="N29">
        <f ca="1">IF(((($C$3+$D$3)*2+55)&lt;=2900)*AND($M$3=1),($C$3+$D$3)*2+55,IF(((($C$3+$D$3)*2+55)&gt;=2855),2*F35,($C$3+$D$3)*2+55))</f>
        <v>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63</v>
      </c>
      <c r="G30" s="87">
        <f>SUM(B36:D36)</f>
        <v>22</v>
      </c>
      <c r="H30" s="93">
        <f ca="1">F30*G30/1000000</f>
        <v>1.3860000000000001E-3</v>
      </c>
      <c r="I30" s="91">
        <f ca="1">I34/H30</f>
        <v>360750.36075036071</v>
      </c>
      <c r="J30" s="92">
        <f>C27+D27+40</f>
        <v>40</v>
      </c>
      <c r="K30" s="92">
        <f>D27+E27+40</f>
        <v>40</v>
      </c>
      <c r="L30" s="104"/>
      <c r="N30">
        <f ca="1">IF(((($C$3+$D$3)*2+59)&lt;=2900)*AND($M$3=1),($C$3+$D$3)*2+59,IF(((($C$3+$D$3)*2+59)&gt;=2855),2*F36,($C$3+$D$3)*2+59))</f>
        <v>59</v>
      </c>
    </row>
    <row r="31" spans="1:14" ht="13.2">
      <c r="A31" s="260"/>
      <c r="E31" t="s">
        <v>35</v>
      </c>
      <c r="L31" s="104"/>
    </row>
    <row r="32" spans="1:14" ht="21.6" customHeight="1">
      <c r="A32" s="260"/>
      <c r="B32" s="263" t="s">
        <v>71</v>
      </c>
      <c r="C32" s="263"/>
      <c r="D32" s="263"/>
      <c r="F32" s="261" t="s">
        <v>58</v>
      </c>
      <c r="G32" s="261"/>
      <c r="H32" s="87" t="s">
        <v>59</v>
      </c>
      <c r="I32" s="95" t="s">
        <v>63</v>
      </c>
      <c r="L32" s="104"/>
    </row>
    <row r="33" spans="1:14" ht="13.2">
      <c r="A33" s="260"/>
      <c r="B33" s="96">
        <f>ROUNDUP((D27/2)+1,0)</f>
        <v>1</v>
      </c>
      <c r="C33" s="97">
        <f>E27+6</f>
        <v>6</v>
      </c>
      <c r="D33" s="98">
        <f>ROUNDUP((D27/2)+1,0)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4" ht="13.2">
      <c r="A34" s="260"/>
      <c r="B34" s="101">
        <f>ROUNDUP((D27/2)+2,0)</f>
        <v>2</v>
      </c>
      <c r="C34" s="102">
        <f>E27+8</f>
        <v>8</v>
      </c>
      <c r="D34" s="103">
        <f>ROUNDUP((D27/2)+2,0)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4" ht="13.2">
      <c r="A35" s="260"/>
      <c r="B35" s="101">
        <f>ROUNDUP((D27/2)+3,0)</f>
        <v>3</v>
      </c>
      <c r="C35" s="102">
        <f>E27+10</f>
        <v>10</v>
      </c>
      <c r="D35" s="103">
        <f>ROUNDUP((D27/2)+3,0)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4" ht="13.2">
      <c r="A36" s="260"/>
      <c r="B36" s="101">
        <f>ROUNDUP((D27/2)+4,0)</f>
        <v>4</v>
      </c>
      <c r="C36" s="102">
        <f>E27+14</f>
        <v>14</v>
      </c>
      <c r="D36" s="103">
        <f>ROUNDUP((D27/2)+4,0)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4" ht="12.9" customHeight="1">
      <c r="L37" s="104"/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47</v>
      </c>
      <c r="G39" s="87">
        <f>SUM(B45:D45)</f>
        <v>8</v>
      </c>
      <c r="H39" s="90">
        <f ca="1">(F39*G39)/1000000</f>
        <v>3.7599999999999998E-4</v>
      </c>
      <c r="I39" s="91">
        <f ca="1">I46/H39</f>
        <v>1329787.2340425532</v>
      </c>
      <c r="J39" s="92">
        <f>C39+D39+20</f>
        <v>20</v>
      </c>
      <c r="K39" s="92">
        <f>D39+E39+20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51</v>
      </c>
      <c r="G40" s="87">
        <f>SUM(B46:D46)</f>
        <v>12</v>
      </c>
      <c r="H40" s="93">
        <f ca="1">F40*G40/1000000</f>
        <v>6.1200000000000002E-4</v>
      </c>
      <c r="I40" s="91">
        <f ca="1">I46/H40</f>
        <v>816993.46405228751</v>
      </c>
      <c r="J40" s="92">
        <f>C39+D39+20</f>
        <v>20</v>
      </c>
      <c r="K40" s="92">
        <f>D39+E39+20</f>
        <v>20</v>
      </c>
      <c r="L40" s="104"/>
      <c r="N40">
        <f ca="1">IF(((($C$3+$D$3)*2+51)&lt;=2900)*AND($M$3=1),($C$3+$D$3)*2+51,IF(((($C$3+$D$3)*2+51)&gt;=2855),2*F46,($C$3+$D$3)*2+51))</f>
        <v>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55</v>
      </c>
      <c r="G41" s="87">
        <f>SUM(B47:D47)</f>
        <v>16</v>
      </c>
      <c r="H41" s="93">
        <f ca="1">F41*G41/1000000</f>
        <v>8.8000000000000003E-4</v>
      </c>
      <c r="I41" s="91">
        <f ca="1">I46/H41</f>
        <v>568181.81818181812</v>
      </c>
      <c r="J41" s="92">
        <f>C39+D39+40</f>
        <v>40</v>
      </c>
      <c r="K41" s="92">
        <f>D39+E39+40</f>
        <v>40</v>
      </c>
      <c r="L41" s="104"/>
      <c r="N41">
        <f ca="1">IF(((($C$3+$D$3)*2+55)&lt;=2900)*AND($M$3=1),($C$3+$D$3)*2+55,IF(((($C$3+$D$3)*2+55)&gt;=2855),2*F47,($C$3+$D$3)*2+55))</f>
        <v>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63</v>
      </c>
      <c r="G42" s="87">
        <f>SUM(B48:D48)</f>
        <v>22</v>
      </c>
      <c r="H42" s="93">
        <f ca="1">F42*G42/1000000</f>
        <v>1.3860000000000001E-3</v>
      </c>
      <c r="I42" s="91">
        <f ca="1">I46/H42</f>
        <v>360750.36075036071</v>
      </c>
      <c r="J42" s="92">
        <f>C39+D39+40</f>
        <v>40</v>
      </c>
      <c r="K42" s="92">
        <f>D39+E39+40</f>
        <v>40</v>
      </c>
      <c r="L42" s="104"/>
      <c r="N42">
        <f ca="1">IF(((($C$3+$D$3)*2+59)&lt;=2900)*AND($M$3=1),($C$3+$D$3)*2+59,IF(((($C$3+$D$3)*2+59)&gt;=2855),2*F48,($C$3+$D$3)*2+59))</f>
        <v>59</v>
      </c>
    </row>
    <row r="43" spans="1:14" ht="13.2">
      <c r="A43" s="260"/>
      <c r="E43" t="s">
        <v>35</v>
      </c>
      <c r="L43" s="104"/>
    </row>
    <row r="44" spans="1:14" ht="21.6" customHeight="1">
      <c r="A44" s="260"/>
      <c r="B44" s="263" t="s">
        <v>71</v>
      </c>
      <c r="C44" s="263"/>
      <c r="D44" s="263"/>
      <c r="F44" s="261" t="s">
        <v>58</v>
      </c>
      <c r="G44" s="261"/>
      <c r="H44" s="87" t="s">
        <v>59</v>
      </c>
      <c r="I44" s="95" t="s">
        <v>63</v>
      </c>
      <c r="L44" s="104"/>
    </row>
    <row r="45" spans="1:14" ht="13.2">
      <c r="A45" s="260"/>
      <c r="B45" s="96">
        <f>ROUNDUP((D39/2)+1,0)</f>
        <v>1</v>
      </c>
      <c r="C45" s="97">
        <f>E39+6</f>
        <v>6</v>
      </c>
      <c r="D45" s="98">
        <f>ROUNDUP((D39/2)+1,0)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4" ht="13.2">
      <c r="A46" s="260"/>
      <c r="B46" s="101">
        <f>ROUNDUP((D39/2)+2,0)</f>
        <v>2</v>
      </c>
      <c r="C46" s="102">
        <f>E39+8</f>
        <v>8</v>
      </c>
      <c r="D46" s="103">
        <f>ROUNDUP((D39/2)+2,0)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4" ht="13.2">
      <c r="A47" s="260"/>
      <c r="B47" s="101">
        <f>ROUNDUP((D39/2)+3,0)</f>
        <v>3</v>
      </c>
      <c r="C47" s="102">
        <f>E39+10</f>
        <v>10</v>
      </c>
      <c r="D47" s="103">
        <f>ROUNDUP((D39/2)+3,0)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4" ht="13.2">
      <c r="A48" s="260"/>
      <c r="B48" s="101">
        <f>ROUNDUP((D39/2)+4,0)</f>
        <v>4</v>
      </c>
      <c r="C48" s="102">
        <f>E39+14</f>
        <v>14</v>
      </c>
      <c r="D48" s="103">
        <f>ROUNDUP((D39/2)+4,0)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4" ht="12.9" customHeight="1">
      <c r="L49" s="104"/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47</v>
      </c>
      <c r="G51" s="87">
        <f>SUM(B57:D57)</f>
        <v>8</v>
      </c>
      <c r="H51" s="90">
        <f ca="1">(F51*G51)/1000000</f>
        <v>3.7599999999999998E-4</v>
      </c>
      <c r="I51" s="91">
        <f ca="1">I58/H51</f>
        <v>1329787.2340425532</v>
      </c>
      <c r="J51" s="92">
        <f>C51+D51+20</f>
        <v>20</v>
      </c>
      <c r="K51" s="92">
        <f>D51+E51+20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51</v>
      </c>
      <c r="G52" s="87">
        <f>SUM(B58:D58)</f>
        <v>12</v>
      </c>
      <c r="H52" s="93">
        <f ca="1">F52*G52/1000000</f>
        <v>6.1200000000000002E-4</v>
      </c>
      <c r="I52" s="91">
        <f ca="1">I58/H52</f>
        <v>816993.46405228751</v>
      </c>
      <c r="J52" s="92">
        <f>C51+D51+20</f>
        <v>20</v>
      </c>
      <c r="K52" s="92">
        <f>D51+E51+20</f>
        <v>20</v>
      </c>
      <c r="L52" s="104"/>
      <c r="N52">
        <f ca="1">IF(((($C$3+$D$3)*2+51)&lt;=2900)*AND($M$3=1),($C$3+$D$3)*2+51,IF(((($C$3+$D$3)*2+51)&gt;=2855),2*F58,($C$3+$D$3)*2+51))</f>
        <v>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55</v>
      </c>
      <c r="G53" s="87">
        <f>SUM(B59:D59)</f>
        <v>16</v>
      </c>
      <c r="H53" s="93">
        <f ca="1">F53*G53/1000000</f>
        <v>8.8000000000000003E-4</v>
      </c>
      <c r="I53" s="91">
        <f ca="1">I58/H53</f>
        <v>568181.81818181812</v>
      </c>
      <c r="J53" s="92">
        <f>C51+D51+40</f>
        <v>40</v>
      </c>
      <c r="K53" s="92">
        <f>D51+E51+40</f>
        <v>40</v>
      </c>
      <c r="L53" s="104"/>
      <c r="N53">
        <f ca="1">IF(((($C$3+$D$3)*2+55)&lt;=2900)*AND($M$3=1),($C$3+$D$3)*2+55,IF(((($C$3+$D$3)*2+55)&gt;=2855),2*F59,($C$3+$D$3)*2+55))</f>
        <v>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63</v>
      </c>
      <c r="G54" s="87">
        <f>SUM(B60:D60)</f>
        <v>22</v>
      </c>
      <c r="H54" s="93">
        <f ca="1">F54*G54/1000000</f>
        <v>1.3860000000000001E-3</v>
      </c>
      <c r="I54" s="91">
        <f ca="1">I58/H54</f>
        <v>360750.36075036071</v>
      </c>
      <c r="J54" s="92">
        <f>C51+D51+40</f>
        <v>40</v>
      </c>
      <c r="K54" s="92">
        <f>D51+E51+40</f>
        <v>40</v>
      </c>
      <c r="L54" s="104"/>
      <c r="N54">
        <f ca="1">IF(((($C$3+$D$3)*2+59)&lt;=2900)*AND($M$3=1),($C$3+$D$3)*2+59,IF(((($C$3+$D$3)*2+59)&gt;=2855),2*F60,($C$3+$D$3)*2+59))</f>
        <v>59</v>
      </c>
    </row>
    <row r="55" spans="1:14" ht="13.2">
      <c r="A55" s="260"/>
      <c r="E55" t="s">
        <v>35</v>
      </c>
      <c r="L55" s="104"/>
    </row>
    <row r="56" spans="1:14" ht="21.6" customHeight="1">
      <c r="A56" s="260"/>
      <c r="B56" s="263" t="s">
        <v>71</v>
      </c>
      <c r="C56" s="263"/>
      <c r="D56" s="263"/>
      <c r="F56" s="261" t="s">
        <v>58</v>
      </c>
      <c r="G56" s="261"/>
      <c r="H56" s="87" t="s">
        <v>59</v>
      </c>
      <c r="I56" s="95" t="s">
        <v>63</v>
      </c>
      <c r="L56" s="104"/>
    </row>
    <row r="57" spans="1:14" ht="13.2">
      <c r="A57" s="260"/>
      <c r="B57" s="96">
        <f>ROUNDUP((D51/2)+1,0)</f>
        <v>1</v>
      </c>
      <c r="C57" s="97">
        <f>E51+6</f>
        <v>6</v>
      </c>
      <c r="D57" s="98">
        <f>ROUNDUP((D51/2)+1,0)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4" ht="13.2">
      <c r="A58" s="260"/>
      <c r="B58" s="101">
        <f>ROUNDUP((D51/2)+2,0)</f>
        <v>2</v>
      </c>
      <c r="C58" s="102">
        <f>E51+8</f>
        <v>8</v>
      </c>
      <c r="D58" s="103">
        <f>ROUNDUP((D51/2)+2,0)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4" ht="13.2">
      <c r="A59" s="260"/>
      <c r="B59" s="101">
        <f>ROUNDUP((D51/2)+3,0)</f>
        <v>3</v>
      </c>
      <c r="C59" s="102">
        <f>E51+10</f>
        <v>10</v>
      </c>
      <c r="D59" s="103">
        <f>ROUNDUP((D51/2)+3,0)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4" ht="13.2">
      <c r="A60" s="260"/>
      <c r="B60" s="101">
        <f>ROUNDUP((D51/2)+4,0)</f>
        <v>4</v>
      </c>
      <c r="C60" s="102">
        <f>E51+14</f>
        <v>14</v>
      </c>
      <c r="D60" s="103">
        <f>ROUNDUP((D51/2)+4,0)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4" ht="12.9" customHeight="1">
      <c r="L61" s="104"/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47</v>
      </c>
      <c r="G63" s="87">
        <f>SUM(B69:D69)</f>
        <v>8</v>
      </c>
      <c r="H63" s="90">
        <f ca="1">(F63*G63)/1000000</f>
        <v>3.7599999999999998E-4</v>
      </c>
      <c r="I63" s="91">
        <f ca="1">I70/H63</f>
        <v>1329787.2340425532</v>
      </c>
      <c r="J63" s="92">
        <f>C63+D63+20</f>
        <v>20</v>
      </c>
      <c r="K63" s="92">
        <f>D63+E63+20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51</v>
      </c>
      <c r="G64" s="87">
        <f>SUM(B70:D70)</f>
        <v>12</v>
      </c>
      <c r="H64" s="93">
        <f ca="1">F64*G64/1000000</f>
        <v>6.1200000000000002E-4</v>
      </c>
      <c r="I64" s="91">
        <f ca="1">I70/H64</f>
        <v>816993.46405228751</v>
      </c>
      <c r="J64" s="92">
        <f>C63+D63+20</f>
        <v>20</v>
      </c>
      <c r="K64" s="92">
        <f>D63+E63+20</f>
        <v>20</v>
      </c>
      <c r="L64" s="104"/>
      <c r="N64">
        <f ca="1">IF(((($C$3+$D$3)*2+51)&lt;=2900)*AND($M$3=1),($C$3+$D$3)*2+51,IF(((($C$3+$D$3)*2+51)&gt;=2855),2*F70,($C$3+$D$3)*2+51))</f>
        <v>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55</v>
      </c>
      <c r="G65" s="87">
        <f>SUM(B71:D71)</f>
        <v>16</v>
      </c>
      <c r="H65" s="93">
        <f ca="1">F65*G65/1000000</f>
        <v>8.8000000000000003E-4</v>
      </c>
      <c r="I65" s="91">
        <f ca="1">I70/H65</f>
        <v>568181.81818181812</v>
      </c>
      <c r="J65" s="92">
        <f>C63+D63+40</f>
        <v>40</v>
      </c>
      <c r="K65" s="92">
        <f>D63+E63+40</f>
        <v>40</v>
      </c>
      <c r="L65" s="104"/>
      <c r="N65">
        <f ca="1">IF(((($C$3+$D$3)*2+55)&lt;=2900)*AND($M$3=1),($C$3+$D$3)*2+55,IF(((($C$3+$D$3)*2+55)&gt;=2855),2*F71,($C$3+$D$3)*2+55))</f>
        <v>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63</v>
      </c>
      <c r="G66" s="87">
        <f>SUM(B72:D72)</f>
        <v>22</v>
      </c>
      <c r="H66" s="93">
        <f ca="1">F66*G66/1000000</f>
        <v>1.3860000000000001E-3</v>
      </c>
      <c r="I66" s="91">
        <f ca="1">I70/H66</f>
        <v>360750.36075036071</v>
      </c>
      <c r="J66" s="92">
        <f>C63+D63+40</f>
        <v>40</v>
      </c>
      <c r="K66" s="92">
        <f>D63+E63+40</f>
        <v>40</v>
      </c>
      <c r="L66" s="104"/>
      <c r="N66">
        <f ca="1">IF(((($C$3+$D$3)*2+59)&lt;=2900)*AND($M$3=1),($C$3+$D$3)*2+59,IF(((($C$3+$D$3)*2+59)&gt;=2855),2*F72,($C$3+$D$3)*2+59))</f>
        <v>59</v>
      </c>
    </row>
    <row r="67" spans="1:14" ht="13.2">
      <c r="A67" s="260"/>
      <c r="E67" t="s">
        <v>35</v>
      </c>
      <c r="L67" s="104"/>
    </row>
    <row r="68" spans="1:14" ht="21.6" customHeight="1">
      <c r="A68" s="260"/>
      <c r="B68" s="263" t="s">
        <v>71</v>
      </c>
      <c r="C68" s="263"/>
      <c r="D68" s="263"/>
      <c r="F68" s="261" t="s">
        <v>58</v>
      </c>
      <c r="G68" s="261"/>
      <c r="H68" s="87" t="s">
        <v>59</v>
      </c>
      <c r="I68" s="95" t="s">
        <v>63</v>
      </c>
      <c r="L68" s="104"/>
    </row>
    <row r="69" spans="1:14" ht="13.2">
      <c r="A69" s="260"/>
      <c r="B69" s="96">
        <f>ROUNDUP((D63/2)+1,0)</f>
        <v>1</v>
      </c>
      <c r="C69" s="97">
        <f>E63+6</f>
        <v>6</v>
      </c>
      <c r="D69" s="98">
        <f>ROUNDUP((D63/2)+1,0)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4" ht="13.2">
      <c r="A70" s="260"/>
      <c r="B70" s="101">
        <f>ROUNDUP((D63/2)+2,0)</f>
        <v>2</v>
      </c>
      <c r="C70" s="102">
        <f>E63+8</f>
        <v>8</v>
      </c>
      <c r="D70" s="103">
        <f>ROUNDUP((D63/2)+2,0)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4" ht="13.2">
      <c r="A71" s="260"/>
      <c r="B71" s="101">
        <f>ROUNDUP((D63/2)+3,0)</f>
        <v>3</v>
      </c>
      <c r="C71" s="102">
        <f>E63+10</f>
        <v>10</v>
      </c>
      <c r="D71" s="103">
        <f>ROUNDUP((D63/2)+3,0)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4" ht="13.2">
      <c r="A72" s="260"/>
      <c r="B72" s="101">
        <f>ROUNDUP((D63/2)+4,0)</f>
        <v>4</v>
      </c>
      <c r="C72" s="102">
        <f>E63+14</f>
        <v>14</v>
      </c>
      <c r="D72" s="103">
        <f>ROUNDUP((D63/2)+4,0)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4" ht="12.9" customHeight="1">
      <c r="L73" s="104"/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47</v>
      </c>
      <c r="G75" s="87">
        <f>SUM(B81:D81)</f>
        <v>8</v>
      </c>
      <c r="H75" s="90">
        <f ca="1">(F75*G75)/1000000</f>
        <v>3.7599999999999998E-4</v>
      </c>
      <c r="I75" s="91">
        <f ca="1">I82/H75</f>
        <v>1329787.2340425532</v>
      </c>
      <c r="J75" s="92">
        <f>C75+D75+20</f>
        <v>20</v>
      </c>
      <c r="K75" s="92">
        <f>D75+E75+20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51</v>
      </c>
      <c r="G76" s="87">
        <f>SUM(B82:D82)</f>
        <v>12</v>
      </c>
      <c r="H76" s="93">
        <f ca="1">F76*G76/1000000</f>
        <v>6.1200000000000002E-4</v>
      </c>
      <c r="I76" s="91">
        <f ca="1">I82/H76</f>
        <v>816993.46405228751</v>
      </c>
      <c r="J76" s="92">
        <f>C75+D75+20</f>
        <v>20</v>
      </c>
      <c r="K76" s="92">
        <f>D75+E75+20</f>
        <v>20</v>
      </c>
      <c r="L76" s="104"/>
      <c r="N76">
        <f ca="1">IF(((($C$3+$D$3)*2+51)&lt;=2900)*AND($M$3=1),($C$3+$D$3)*2+51,IF(((($C$3+$D$3)*2+51)&gt;=2855),2*F82,($C$3+$D$3)*2+51))</f>
        <v>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55</v>
      </c>
      <c r="G77" s="87">
        <f>SUM(B83:D83)</f>
        <v>16</v>
      </c>
      <c r="H77" s="93">
        <f ca="1">F77*G77/1000000</f>
        <v>8.8000000000000003E-4</v>
      </c>
      <c r="I77" s="91">
        <f ca="1">I82/H77</f>
        <v>568181.81818181812</v>
      </c>
      <c r="J77" s="92">
        <f>C75+D75+40</f>
        <v>40</v>
      </c>
      <c r="K77" s="92">
        <f>D75+E75+40</f>
        <v>40</v>
      </c>
      <c r="L77" s="104"/>
      <c r="N77">
        <f ca="1">IF(((($C$3+$D$3)*2+55)&lt;=2900)*AND($M$3=1),($C$3+$D$3)*2+55,IF(((($C$3+$D$3)*2+55)&gt;=2855),2*F83,($C$3+$D$3)*2+55))</f>
        <v>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63</v>
      </c>
      <c r="G78" s="87">
        <f>SUM(B84:D84)</f>
        <v>22</v>
      </c>
      <c r="H78" s="93">
        <f ca="1">F78*G78/1000000</f>
        <v>1.3860000000000001E-3</v>
      </c>
      <c r="I78" s="91">
        <f ca="1">I82/H78</f>
        <v>360750.36075036071</v>
      </c>
      <c r="J78" s="92">
        <f>C75+D75+40</f>
        <v>40</v>
      </c>
      <c r="K78" s="92">
        <f>D75+E75+40</f>
        <v>40</v>
      </c>
      <c r="L78" s="104"/>
      <c r="N78">
        <f ca="1">IF(((($C$3+$D$3)*2+59)&lt;=2900)*AND($M$3=1),($C$3+$D$3)*2+59,IF(((($C$3+$D$3)*2+59)&gt;=2855),2*F84,($C$3+$D$3)*2+59))</f>
        <v>59</v>
      </c>
    </row>
    <row r="79" spans="1:14" ht="13.2">
      <c r="A79" s="260"/>
      <c r="E79" t="s">
        <v>35</v>
      </c>
      <c r="L79" s="104"/>
    </row>
    <row r="80" spans="1:14" ht="21.6" customHeight="1">
      <c r="A80" s="260"/>
      <c r="B80" s="263" t="s">
        <v>71</v>
      </c>
      <c r="C80" s="263"/>
      <c r="D80" s="263"/>
      <c r="F80" s="261" t="s">
        <v>58</v>
      </c>
      <c r="G80" s="261"/>
      <c r="H80" s="87" t="s">
        <v>59</v>
      </c>
      <c r="I80" s="95" t="s">
        <v>63</v>
      </c>
      <c r="L80" s="104"/>
    </row>
    <row r="81" spans="1:14" ht="13.2">
      <c r="A81" s="260"/>
      <c r="B81" s="96">
        <f>ROUNDUP((D75/2)+1,0)</f>
        <v>1</v>
      </c>
      <c r="C81" s="97">
        <f>E75+6</f>
        <v>6</v>
      </c>
      <c r="D81" s="98">
        <f>ROUNDUP((D75/2)+1,0)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4" ht="13.2">
      <c r="A82" s="260"/>
      <c r="B82" s="101">
        <f>ROUNDUP((D75/2)+2,0)</f>
        <v>2</v>
      </c>
      <c r="C82" s="102">
        <f>E75+8</f>
        <v>8</v>
      </c>
      <c r="D82" s="103">
        <f>ROUNDUP((D75/2)+2,0)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4" ht="13.2">
      <c r="A83" s="260"/>
      <c r="B83" s="101">
        <f>ROUNDUP((D75/2)+3,0)</f>
        <v>3</v>
      </c>
      <c r="C83" s="102">
        <f>E75+10</f>
        <v>10</v>
      </c>
      <c r="D83" s="103">
        <f>ROUNDUP((D75/2)+3,0)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4" ht="13.2">
      <c r="A84" s="260"/>
      <c r="B84" s="101">
        <f>ROUNDUP((D75/2)+4,0)</f>
        <v>4</v>
      </c>
      <c r="C84" s="102">
        <f>E75+14</f>
        <v>14</v>
      </c>
      <c r="D84" s="103">
        <f>ROUNDUP((D75/2)+4,0)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4" ht="12.9" customHeight="1">
      <c r="L85" s="104"/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47</v>
      </c>
      <c r="G87" s="87">
        <f>SUM(B93:D93)</f>
        <v>8</v>
      </c>
      <c r="H87" s="90">
        <f ca="1">(F87*G87)/1000000</f>
        <v>3.7599999999999998E-4</v>
      </c>
      <c r="I87" s="91">
        <f ca="1">I94/H87</f>
        <v>1329787.2340425532</v>
      </c>
      <c r="J87" s="92">
        <f>C87+D87+20</f>
        <v>20</v>
      </c>
      <c r="K87" s="92">
        <f>D87+E87+20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51</v>
      </c>
      <c r="G88" s="87">
        <f>SUM(B94:D94)</f>
        <v>12</v>
      </c>
      <c r="H88" s="93">
        <f ca="1">F88*G88/1000000</f>
        <v>6.1200000000000002E-4</v>
      </c>
      <c r="I88" s="91">
        <f ca="1">I94/H88</f>
        <v>816993.46405228751</v>
      </c>
      <c r="J88" s="92">
        <f>C87+D87+20</f>
        <v>20</v>
      </c>
      <c r="K88" s="92">
        <f>D87+E87+20</f>
        <v>20</v>
      </c>
      <c r="L88" s="104"/>
      <c r="N88">
        <f ca="1">IF(((($C$3+$D$3)*2+51)&lt;=2900)*AND($M$3=1),($C$3+$D$3)*2+51,IF(((($C$3+$D$3)*2+51)&gt;=2855),2*F94,($C$3+$D$3)*2+51))</f>
        <v>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55</v>
      </c>
      <c r="G89" s="87">
        <f>SUM(B95:D95)</f>
        <v>16</v>
      </c>
      <c r="H89" s="93">
        <f ca="1">F89*G89/1000000</f>
        <v>8.8000000000000003E-4</v>
      </c>
      <c r="I89" s="91">
        <f ca="1">I94/H89</f>
        <v>568181.81818181812</v>
      </c>
      <c r="J89" s="92">
        <f>C87+D87+40</f>
        <v>40</v>
      </c>
      <c r="K89" s="92">
        <f>D87+E87+40</f>
        <v>40</v>
      </c>
      <c r="L89" s="104"/>
      <c r="N89">
        <f ca="1">IF(((($C$3+$D$3)*2+55)&lt;=2900)*AND($M$3=1),($C$3+$D$3)*2+55,IF(((($C$3+$D$3)*2+55)&gt;=2855),2*F95,($C$3+$D$3)*2+55))</f>
        <v>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63</v>
      </c>
      <c r="G90" s="87">
        <f>SUM(B96:D96)</f>
        <v>22</v>
      </c>
      <c r="H90" s="93">
        <f ca="1">F90*G90/1000000</f>
        <v>1.3860000000000001E-3</v>
      </c>
      <c r="I90" s="91">
        <f ca="1">I94/H90</f>
        <v>360750.36075036071</v>
      </c>
      <c r="J90" s="92">
        <f>C87+D87+40</f>
        <v>40</v>
      </c>
      <c r="K90" s="92">
        <f>D87+E87+40</f>
        <v>40</v>
      </c>
      <c r="L90" s="104"/>
      <c r="N90">
        <f ca="1">IF(((($C$3+$D$3)*2+59)&lt;=2900)*AND($M$3=1),($C$3+$D$3)*2+59,IF(((($C$3+$D$3)*2+59)&gt;=2855),2*F96,($C$3+$D$3)*2+59))</f>
        <v>59</v>
      </c>
    </row>
    <row r="91" spans="1:14" ht="13.2">
      <c r="A91" s="260"/>
      <c r="E91" t="s">
        <v>35</v>
      </c>
      <c r="L91" s="104"/>
    </row>
    <row r="92" spans="1:14" ht="21.6" customHeight="1">
      <c r="A92" s="260"/>
      <c r="B92" s="263" t="s">
        <v>71</v>
      </c>
      <c r="C92" s="263"/>
      <c r="D92" s="263"/>
      <c r="F92" s="261" t="s">
        <v>58</v>
      </c>
      <c r="G92" s="261"/>
      <c r="H92" s="87" t="s">
        <v>59</v>
      </c>
      <c r="I92" s="95" t="s">
        <v>63</v>
      </c>
      <c r="L92" s="104"/>
    </row>
    <row r="93" spans="1:14" ht="13.2">
      <c r="A93" s="260"/>
      <c r="B93" s="96">
        <f>ROUNDUP((D87/2)+1,0)</f>
        <v>1</v>
      </c>
      <c r="C93" s="97">
        <f>E87+6</f>
        <v>6</v>
      </c>
      <c r="D93" s="98">
        <f>ROUNDUP((D87/2)+1,0)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4" ht="13.2">
      <c r="A94" s="260"/>
      <c r="B94" s="101">
        <f>ROUNDUP((D87/2)+2,0)</f>
        <v>2</v>
      </c>
      <c r="C94" s="102">
        <f>E87+8</f>
        <v>8</v>
      </c>
      <c r="D94" s="103">
        <f>ROUNDUP((D87/2)+2,0)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4" ht="13.2">
      <c r="A95" s="260"/>
      <c r="B95" s="101">
        <f>ROUNDUP((D87/2)+3,0)</f>
        <v>3</v>
      </c>
      <c r="C95" s="102">
        <f>E87+10</f>
        <v>10</v>
      </c>
      <c r="D95" s="103">
        <f>ROUNDUP((D87/2)+3,0)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4" ht="13.2">
      <c r="A96" s="260"/>
      <c r="B96" s="101">
        <f>ROUNDUP((D87/2)+4,0)</f>
        <v>4</v>
      </c>
      <c r="C96" s="102">
        <f>E87+14</f>
        <v>14</v>
      </c>
      <c r="D96" s="103">
        <f>ROUNDUP((D87/2)+4,0)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4" ht="12.9" customHeight="1">
      <c r="L97" s="104"/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47</v>
      </c>
      <c r="G99" s="87">
        <f>SUM(B105:D105)</f>
        <v>8</v>
      </c>
      <c r="H99" s="90">
        <f ca="1">(F99*G99)/1000000</f>
        <v>3.7599999999999998E-4</v>
      </c>
      <c r="I99" s="91">
        <f ca="1">I106/H99</f>
        <v>1329787.2340425532</v>
      </c>
      <c r="J99" s="92">
        <f>C99+D99+20</f>
        <v>20</v>
      </c>
      <c r="K99" s="92">
        <f>D99+E99+20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51</v>
      </c>
      <c r="G100" s="87">
        <f>SUM(B106:D106)</f>
        <v>12</v>
      </c>
      <c r="H100" s="93">
        <f ca="1">F100*G100/1000000</f>
        <v>6.1200000000000002E-4</v>
      </c>
      <c r="I100" s="91">
        <f ca="1">I106/H100</f>
        <v>816993.46405228751</v>
      </c>
      <c r="J100" s="92">
        <f>C99+D99+20</f>
        <v>20</v>
      </c>
      <c r="K100" s="92">
        <f>D99+E99+20</f>
        <v>20</v>
      </c>
      <c r="L100" s="104"/>
      <c r="N100">
        <f ca="1">IF(((($C$3+$D$3)*2+51)&lt;=2900)*AND($M$3=1),($C$3+$D$3)*2+51,IF(((($C$3+$D$3)*2+51)&gt;=2855),2*F106,($C$3+$D$3)*2+51))</f>
        <v>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55</v>
      </c>
      <c r="G101" s="87">
        <f>SUM(B107:D107)</f>
        <v>16</v>
      </c>
      <c r="H101" s="93">
        <f ca="1">F101*G101/1000000</f>
        <v>8.8000000000000003E-4</v>
      </c>
      <c r="I101" s="91">
        <f ca="1">I106/H101</f>
        <v>568181.81818181812</v>
      </c>
      <c r="J101" s="92">
        <f>C99+D99+40</f>
        <v>40</v>
      </c>
      <c r="K101" s="92">
        <f>D99+E99+40</f>
        <v>40</v>
      </c>
      <c r="L101" s="104"/>
      <c r="N101">
        <f ca="1">IF(((($C$3+$D$3)*2+55)&lt;=2900)*AND($M$3=1),($C$3+$D$3)*2+55,IF(((($C$3+$D$3)*2+55)&gt;=2855),2*F107,($C$3+$D$3)*2+55))</f>
        <v>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63</v>
      </c>
      <c r="G102" s="87">
        <f>SUM(B108:D108)</f>
        <v>22</v>
      </c>
      <c r="H102" s="93">
        <f ca="1">F102*G102/1000000</f>
        <v>1.3860000000000001E-3</v>
      </c>
      <c r="I102" s="91">
        <f ca="1">I106/H102</f>
        <v>360750.36075036071</v>
      </c>
      <c r="J102" s="92">
        <f>C99+D99+40</f>
        <v>40</v>
      </c>
      <c r="K102" s="92">
        <f>D99+E99+40</f>
        <v>40</v>
      </c>
      <c r="L102" s="104"/>
      <c r="N102">
        <f ca="1">IF(((($C$3+$D$3)*2+59)&lt;=2900)*AND($M$3=1),($C$3+$D$3)*2+59,IF(((($C$3+$D$3)*2+59)&gt;=2855),2*F108,($C$3+$D$3)*2+59))</f>
        <v>59</v>
      </c>
    </row>
    <row r="103" spans="1:14" ht="13.2">
      <c r="A103" s="260"/>
      <c r="E103" t="s">
        <v>35</v>
      </c>
      <c r="L103" s="104"/>
    </row>
    <row r="104" spans="1:14" ht="21.6" customHeight="1">
      <c r="A104" s="260"/>
      <c r="B104" s="263" t="s">
        <v>71</v>
      </c>
      <c r="C104" s="263"/>
      <c r="D104" s="263"/>
      <c r="F104" s="261" t="s">
        <v>58</v>
      </c>
      <c r="G104" s="261"/>
      <c r="H104" s="87" t="s">
        <v>59</v>
      </c>
      <c r="I104" s="95" t="s">
        <v>63</v>
      </c>
      <c r="L104" s="104"/>
    </row>
    <row r="105" spans="1:14" ht="13.2">
      <c r="A105" s="260"/>
      <c r="B105" s="96">
        <f>ROUNDUP((D99/2)+1,0)</f>
        <v>1</v>
      </c>
      <c r="C105" s="97">
        <f>E99+6</f>
        <v>6</v>
      </c>
      <c r="D105" s="98">
        <f>ROUNDUP((D99/2)+1,0)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4" ht="13.2">
      <c r="A106" s="260"/>
      <c r="B106" s="101">
        <f>ROUNDUP((D99/2)+2,0)</f>
        <v>2</v>
      </c>
      <c r="C106" s="102">
        <f>E99+8</f>
        <v>8</v>
      </c>
      <c r="D106" s="103">
        <f>ROUNDUP((D99/2)+2,0)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4" ht="13.2">
      <c r="A107" s="260"/>
      <c r="B107" s="101">
        <f>ROUNDUP((D99/2)+3,0)</f>
        <v>3</v>
      </c>
      <c r="C107" s="102">
        <f>E99+10</f>
        <v>10</v>
      </c>
      <c r="D107" s="103">
        <f>ROUNDUP((D99/2)+3,0)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4" ht="13.2">
      <c r="A108" s="260"/>
      <c r="B108" s="101">
        <f>ROUNDUP((D99/2)+4,0)</f>
        <v>4</v>
      </c>
      <c r="C108" s="102">
        <f>E99+14</f>
        <v>14</v>
      </c>
      <c r="D108" s="103">
        <f>ROUNDUP((D99/2)+4,0)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4" ht="12.9" customHeight="1">
      <c r="L109" s="104"/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47</v>
      </c>
      <c r="G111" s="87">
        <f>SUM(B117:D117)</f>
        <v>8</v>
      </c>
      <c r="H111" s="90">
        <f ca="1">(F111*G111)/1000000</f>
        <v>3.7599999999999998E-4</v>
      </c>
      <c r="I111" s="91">
        <f ca="1">I118/H111</f>
        <v>1329787.2340425532</v>
      </c>
      <c r="J111" s="92">
        <f>C111+D111+20</f>
        <v>20</v>
      </c>
      <c r="K111" s="92">
        <f>D111+E111+20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51</v>
      </c>
      <c r="G112" s="87">
        <f>SUM(B118:D118)</f>
        <v>12</v>
      </c>
      <c r="H112" s="93">
        <f ca="1">F112*G112/1000000</f>
        <v>6.1200000000000002E-4</v>
      </c>
      <c r="I112" s="91">
        <f ca="1">I118/H112</f>
        <v>816993.46405228751</v>
      </c>
      <c r="J112" s="92">
        <f>C111+D111+20</f>
        <v>20</v>
      </c>
      <c r="K112" s="92">
        <f>D111+E111+20</f>
        <v>20</v>
      </c>
      <c r="L112" s="104"/>
      <c r="N112">
        <f ca="1">IF(((($C$3+$D$3)*2+51)&lt;=2900)*AND($M$3=1),($C$3+$D$3)*2+51,IF(((($C$3+$D$3)*2+51)&gt;=2855),2*F118,($C$3+$D$3)*2+51))</f>
        <v>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55</v>
      </c>
      <c r="G113" s="87">
        <f>SUM(B119:D119)</f>
        <v>16</v>
      </c>
      <c r="H113" s="93">
        <f ca="1">F113*G113/1000000</f>
        <v>8.8000000000000003E-4</v>
      </c>
      <c r="I113" s="91">
        <f ca="1">I118/H113</f>
        <v>568181.81818181812</v>
      </c>
      <c r="J113" s="92">
        <f>C111+D111+40</f>
        <v>40</v>
      </c>
      <c r="K113" s="92">
        <f>D111+E111+40</f>
        <v>40</v>
      </c>
      <c r="L113" s="104"/>
      <c r="N113">
        <f ca="1">IF(((($C$3+$D$3)*2+55)&lt;=2900)*AND($M$3=1),($C$3+$D$3)*2+55,IF(((($C$3+$D$3)*2+55)&gt;=2855),2*F119,($C$3+$D$3)*2+55))</f>
        <v>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63</v>
      </c>
      <c r="G114" s="87">
        <f>SUM(B120:D120)</f>
        <v>22</v>
      </c>
      <c r="H114" s="93">
        <f ca="1">F114*G114/1000000</f>
        <v>1.3860000000000001E-3</v>
      </c>
      <c r="I114" s="91">
        <f ca="1">I118/H114</f>
        <v>360750.36075036071</v>
      </c>
      <c r="J114" s="92">
        <f>C111+D111+40</f>
        <v>40</v>
      </c>
      <c r="K114" s="92">
        <f>D111+E111+40</f>
        <v>40</v>
      </c>
      <c r="L114" s="104"/>
      <c r="N114">
        <f ca="1">IF(((($C$3+$D$3)*2+59)&lt;=2900)*AND($M$3=1),($C$3+$D$3)*2+59,IF(((($C$3+$D$3)*2+59)&gt;=2855),2*F120,($C$3+$D$3)*2+59))</f>
        <v>59</v>
      </c>
    </row>
    <row r="115" spans="1:14" ht="13.2">
      <c r="A115" s="260"/>
      <c r="E115" t="s">
        <v>35</v>
      </c>
      <c r="L115" s="104"/>
    </row>
    <row r="116" spans="1:14" ht="21.6" customHeight="1">
      <c r="A116" s="260"/>
      <c r="B116" s="263" t="s">
        <v>71</v>
      </c>
      <c r="C116" s="263"/>
      <c r="D116" s="263"/>
      <c r="F116" s="261" t="s">
        <v>58</v>
      </c>
      <c r="G116" s="261"/>
      <c r="H116" s="87" t="s">
        <v>59</v>
      </c>
      <c r="I116" s="95" t="s">
        <v>63</v>
      </c>
      <c r="L116" s="104"/>
    </row>
    <row r="117" spans="1:14" ht="13.2">
      <c r="A117" s="260"/>
      <c r="B117" s="96">
        <f>ROUNDUP((D111/2)+1,0)</f>
        <v>1</v>
      </c>
      <c r="C117" s="97">
        <f>E111+6</f>
        <v>6</v>
      </c>
      <c r="D117" s="98">
        <f>ROUNDUP((D111/2)+1,0)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ROUNDUP((D111/2)+2,0)</f>
        <v>2</v>
      </c>
      <c r="C118" s="102">
        <f>E111+8</f>
        <v>8</v>
      </c>
      <c r="D118" s="103">
        <f>ROUNDUP((D111/2)+2,0)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ROUNDUP((D111/2)+3,0)</f>
        <v>3</v>
      </c>
      <c r="C119" s="102">
        <f>E111+10</f>
        <v>10</v>
      </c>
      <c r="D119" s="103">
        <f>ROUNDUP((D111/2)+3,0)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ROUNDUP((D111/2)+4,0)</f>
        <v>4</v>
      </c>
      <c r="C120" s="102">
        <f>E111+14</f>
        <v>14</v>
      </c>
      <c r="D120" s="103">
        <f>ROUNDUP((D111/2)+4,0)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61">
    <mergeCell ref="L1:L2"/>
    <mergeCell ref="M1:M2"/>
    <mergeCell ref="A2:A12"/>
    <mergeCell ref="F2:G2"/>
    <mergeCell ref="J2:K2"/>
    <mergeCell ref="B8:D8"/>
    <mergeCell ref="F8:G8"/>
    <mergeCell ref="M13:M14"/>
    <mergeCell ref="A14:A24"/>
    <mergeCell ref="F14:G14"/>
    <mergeCell ref="J14:K14"/>
    <mergeCell ref="B20:D20"/>
    <mergeCell ref="F20:G20"/>
    <mergeCell ref="M25:M26"/>
    <mergeCell ref="A26:A36"/>
    <mergeCell ref="F26:G26"/>
    <mergeCell ref="J26:K26"/>
    <mergeCell ref="B32:D32"/>
    <mergeCell ref="F32:G32"/>
    <mergeCell ref="M37:M38"/>
    <mergeCell ref="A38:A48"/>
    <mergeCell ref="F38:G38"/>
    <mergeCell ref="J38:K38"/>
    <mergeCell ref="B44:D44"/>
    <mergeCell ref="F44:G44"/>
    <mergeCell ref="M49:M50"/>
    <mergeCell ref="A50:A60"/>
    <mergeCell ref="F50:G50"/>
    <mergeCell ref="J50:K50"/>
    <mergeCell ref="B56:D56"/>
    <mergeCell ref="F56:G56"/>
    <mergeCell ref="M61:M62"/>
    <mergeCell ref="A62:A72"/>
    <mergeCell ref="F62:G62"/>
    <mergeCell ref="J62:K62"/>
    <mergeCell ref="B68:D68"/>
    <mergeCell ref="F68:G68"/>
    <mergeCell ref="M73:M74"/>
    <mergeCell ref="A74:A84"/>
    <mergeCell ref="F74:G74"/>
    <mergeCell ref="J74:K74"/>
    <mergeCell ref="B80:D80"/>
    <mergeCell ref="F80:G80"/>
    <mergeCell ref="M85:M86"/>
    <mergeCell ref="A86:A96"/>
    <mergeCell ref="F86:G86"/>
    <mergeCell ref="J86:K86"/>
    <mergeCell ref="B92:D92"/>
    <mergeCell ref="F92:G92"/>
    <mergeCell ref="M97:M98"/>
    <mergeCell ref="A98:A108"/>
    <mergeCell ref="F98:G98"/>
    <mergeCell ref="J98:K98"/>
    <mergeCell ref="B104:D104"/>
    <mergeCell ref="F104:G104"/>
    <mergeCell ref="M109:M110"/>
    <mergeCell ref="A110:A120"/>
    <mergeCell ref="F110:G110"/>
    <mergeCell ref="J110:K110"/>
    <mergeCell ref="B116:D116"/>
    <mergeCell ref="F116:G116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C000"/>
    <pageSetUpPr fitToPage="1"/>
  </sheetPr>
  <dimension ref="A1:T120"/>
  <sheetViews>
    <sheetView zoomScale="74" zoomScaleNormal="74" workbookViewId="0">
      <selection activeCell="P38" sqref="P38"/>
    </sheetView>
  </sheetViews>
  <sheetFormatPr defaultColWidth="11.5546875" defaultRowHeight="12.9" customHeight="1"/>
  <sheetData>
    <row r="1" spans="1:20" ht="12.9" customHeight="1">
      <c r="L1" s="265" t="s">
        <v>64</v>
      </c>
      <c r="M1" s="265" t="s">
        <v>65</v>
      </c>
      <c r="O1" s="105"/>
      <c r="P1" s="266" t="s">
        <v>73</v>
      </c>
      <c r="Q1" s="266"/>
      <c r="R1" s="108" t="s">
        <v>74</v>
      </c>
      <c r="S1" s="108"/>
      <c r="T1" s="108" t="s">
        <v>75</v>
      </c>
    </row>
    <row r="2" spans="1:20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  <c r="P2" s="109" t="s">
        <v>76</v>
      </c>
      <c r="Q2" s="88">
        <v>2</v>
      </c>
      <c r="R2" s="109">
        <v>30</v>
      </c>
      <c r="S2" s="109"/>
      <c r="T2" s="109">
        <v>30</v>
      </c>
    </row>
    <row r="3" spans="1:20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 ca="1">IF(((($C$3+$D$3)*2+47)&lt;=2900)*AND($M$3=1),($C$3+$D$3)*2+47,IF(((($C$3+$D$3)*2+47)&gt;=2855),2*F9,($C$3+$D$3)*2+47))</f>
        <v>47</v>
      </c>
      <c r="G3" s="87">
        <f>SUM(B9:D9)</f>
        <v>8</v>
      </c>
      <c r="H3" s="90">
        <f ca="1">(F3*G3)/1000000</f>
        <v>3.7599999999999998E-4</v>
      </c>
      <c r="I3" s="91">
        <f ca="1">I10/H3</f>
        <v>1329787.2340425532</v>
      </c>
      <c r="J3" s="92">
        <f>C3+D3+20</f>
        <v>20</v>
      </c>
      <c r="K3" s="92">
        <f>G3+15</f>
        <v>23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47</v>
      </c>
      <c r="O3" s="6"/>
      <c r="P3" s="109" t="s">
        <v>77</v>
      </c>
      <c r="Q3" s="110">
        <v>3</v>
      </c>
      <c r="R3" s="109">
        <v>30</v>
      </c>
      <c r="S3" s="109"/>
      <c r="T3" s="109">
        <v>30</v>
      </c>
    </row>
    <row r="4" spans="1:20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51</v>
      </c>
      <c r="G4" s="87">
        <f>SUM(B10:D10)</f>
        <v>12</v>
      </c>
      <c r="H4" s="93">
        <f ca="1">F4*G4/1000000</f>
        <v>6.1200000000000002E-4</v>
      </c>
      <c r="I4" s="91">
        <f ca="1">I10/H4</f>
        <v>816993.46405228751</v>
      </c>
      <c r="J4" s="92">
        <f>C3+D3+20</f>
        <v>20</v>
      </c>
      <c r="K4" s="92">
        <f>G4+15</f>
        <v>27</v>
      </c>
      <c r="L4" s="104"/>
      <c r="M4" s="105"/>
      <c r="N4">
        <f ca="1">IF(((($C$3+$D$3)*2+51)&lt;=2900)*AND($M$3=1),($C$3+$D$3)*2+51,IF(((($C$3+$D$3)*2+51)&gt;=2855),2*F10,($C$3+$D$3)*2+51))</f>
        <v>51</v>
      </c>
      <c r="P4" s="111" t="s">
        <v>78</v>
      </c>
      <c r="Q4" s="112">
        <v>4</v>
      </c>
      <c r="R4" s="109">
        <v>30</v>
      </c>
      <c r="S4" s="109"/>
      <c r="T4" s="109">
        <v>40</v>
      </c>
    </row>
    <row r="5" spans="1:20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55</v>
      </c>
      <c r="G5" s="87">
        <f>SUM(B11:D11)</f>
        <v>16</v>
      </c>
      <c r="H5" s="93">
        <f ca="1">F5*G5/1000000</f>
        <v>8.8000000000000003E-4</v>
      </c>
      <c r="I5" s="91">
        <f ca="1">I10/H5</f>
        <v>568181.81818181812</v>
      </c>
      <c r="J5" s="92">
        <f>C3+D3+40</f>
        <v>40</v>
      </c>
      <c r="K5" s="92">
        <f>G5+15</f>
        <v>31</v>
      </c>
      <c r="L5" s="104"/>
      <c r="N5">
        <f ca="1">IF(((($C$3+$D$3)*2+55)&lt;=2900)*AND($M$3=1),($C$3+$D$3)*2+55,IF(((($C$3+$D$3)*2+55)&gt;=2855),2*F11,($C$3+$D$3)*2+55))</f>
        <v>55</v>
      </c>
      <c r="P5" s="113" t="s">
        <v>79</v>
      </c>
      <c r="Q5" s="114">
        <v>5</v>
      </c>
      <c r="R5" s="109">
        <v>40</v>
      </c>
      <c r="S5" s="109"/>
      <c r="T5" s="109">
        <v>50</v>
      </c>
    </row>
    <row r="6" spans="1:20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63</v>
      </c>
      <c r="G6" s="87">
        <f>SUM(B12:D12)</f>
        <v>22</v>
      </c>
      <c r="H6" s="93">
        <f ca="1">F6*G6/1000000</f>
        <v>1.3860000000000001E-3</v>
      </c>
      <c r="I6" s="91">
        <f ca="1">I10/H6</f>
        <v>360750.36075036071</v>
      </c>
      <c r="J6" s="92">
        <f>C3+D3+40</f>
        <v>40</v>
      </c>
      <c r="K6" s="92">
        <f>G6+15</f>
        <v>37</v>
      </c>
      <c r="L6" s="104"/>
      <c r="M6" s="6"/>
      <c r="N6">
        <f ca="1">IF(((($C$3+$D$3)*2+59)&lt;=2900)*AND($M$3=1),($C$3+$D$3)*2+59,IF(((($C$3+$D$3)*2+59)&gt;=2855),2*F12,($C$3+$D$3)*2+59))</f>
        <v>59</v>
      </c>
      <c r="P6" s="115" t="s">
        <v>80</v>
      </c>
      <c r="Q6" s="114">
        <v>7</v>
      </c>
      <c r="R6" s="109">
        <v>40</v>
      </c>
      <c r="S6" s="109"/>
      <c r="T6" s="109">
        <v>50</v>
      </c>
    </row>
    <row r="7" spans="1:20" ht="13.2">
      <c r="A7" s="260"/>
      <c r="E7" t="s">
        <v>35</v>
      </c>
      <c r="L7" s="104"/>
    </row>
    <row r="8" spans="1:20" ht="25.8">
      <c r="A8" s="260"/>
      <c r="B8" s="94" t="s">
        <v>71</v>
      </c>
      <c r="C8" s="94"/>
      <c r="D8" s="94"/>
      <c r="F8" s="261" t="s">
        <v>58</v>
      </c>
      <c r="G8" s="261"/>
      <c r="H8" s="87" t="s">
        <v>59</v>
      </c>
      <c r="I8" s="95" t="s">
        <v>63</v>
      </c>
      <c r="K8">
        <f>Kalk!G6</f>
        <v>0</v>
      </c>
      <c r="L8" s="104"/>
    </row>
    <row r="9" spans="1:20" ht="13.2">
      <c r="A9" s="260"/>
      <c r="B9" s="96">
        <f>ROUNDUP((D3/2)+1+(K8/2),0)</f>
        <v>1</v>
      </c>
      <c r="C9" s="97">
        <f>E3+6</f>
        <v>6</v>
      </c>
      <c r="D9" s="98">
        <f>ROUNDUP((D3/2)+1+(K8/2),0)</f>
        <v>1</v>
      </c>
      <c r="E9" s="89" t="s">
        <v>72</v>
      </c>
      <c r="F9" s="87">
        <f>C3+D3+51</f>
        <v>51</v>
      </c>
      <c r="G9" s="87">
        <f>SUM(B9:D9)</f>
        <v>8</v>
      </c>
      <c r="H9" s="90">
        <f>((F9*G9)/1000000)*2</f>
        <v>8.1599999999999999E-4</v>
      </c>
      <c r="I9" s="100"/>
      <c r="L9" s="104"/>
    </row>
    <row r="10" spans="1:20" ht="13.2">
      <c r="A10" s="260"/>
      <c r="B10" s="101">
        <f>ROUNDUP((D3/2)+2+(K8/2),0)</f>
        <v>2</v>
      </c>
      <c r="C10" s="102">
        <f>E3+8</f>
        <v>8</v>
      </c>
      <c r="D10" s="103">
        <f>ROUNDUP((D3/2)+2+(K8/2),0)</f>
        <v>2</v>
      </c>
      <c r="E10" s="89" t="s">
        <v>72</v>
      </c>
      <c r="F10" s="87">
        <f>C3+D3+53</f>
        <v>53</v>
      </c>
      <c r="G10" s="87">
        <f>SUM(B10:D10)</f>
        <v>12</v>
      </c>
      <c r="H10" s="90">
        <f>((F10*G10)/1000000)*2</f>
        <v>1.2719999999999999E-3</v>
      </c>
      <c r="I10" s="99">
        <v>500</v>
      </c>
      <c r="L10" s="104"/>
    </row>
    <row r="11" spans="1:20" ht="13.2">
      <c r="A11" s="260"/>
      <c r="B11" s="101">
        <f>ROUNDUP((D3/2)+3+(K8/2),0)</f>
        <v>3</v>
      </c>
      <c r="C11" s="102">
        <f>E3+10</f>
        <v>10</v>
      </c>
      <c r="D11" s="103">
        <f>ROUNDUP((D3/2)+3+(K8/2),0)</f>
        <v>3</v>
      </c>
      <c r="E11" s="89" t="s">
        <v>72</v>
      </c>
      <c r="F11" s="87">
        <f>C3+D3+55</f>
        <v>55</v>
      </c>
      <c r="G11" s="87">
        <f>SUM(B11:D11)</f>
        <v>16</v>
      </c>
      <c r="H11" s="90">
        <f>((F11*G11)/1000000)*2</f>
        <v>1.7600000000000001E-3</v>
      </c>
      <c r="I11" s="6"/>
      <c r="L11" s="104"/>
    </row>
    <row r="12" spans="1:20" ht="13.2">
      <c r="A12" s="260"/>
      <c r="B12" s="101">
        <f>ROUNDUP((D3/2)+4+(K8/2),0)</f>
        <v>4</v>
      </c>
      <c r="C12" s="102">
        <f>E3+14</f>
        <v>14</v>
      </c>
      <c r="D12" s="103">
        <f>ROUNDUP((D3/2)+4+(K8/2),0)</f>
        <v>4</v>
      </c>
      <c r="E12" s="89" t="s">
        <v>72</v>
      </c>
      <c r="F12" s="87">
        <f>C3+D3+59</f>
        <v>59</v>
      </c>
      <c r="G12" s="87">
        <f>SUM(B12:D12)</f>
        <v>22</v>
      </c>
      <c r="H12" s="90">
        <f>((F12*G12)/1000000)*2</f>
        <v>2.5959999999999998E-3</v>
      </c>
      <c r="I12" s="6"/>
      <c r="L12" s="104"/>
    </row>
    <row r="13" spans="1:20" ht="12.9" customHeight="1">
      <c r="L13" s="104"/>
      <c r="M13" s="265" t="s">
        <v>65</v>
      </c>
    </row>
    <row r="14" spans="1:20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20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47</v>
      </c>
      <c r="G15" s="87">
        <f>SUM(B21:D21)</f>
        <v>8</v>
      </c>
      <c r="H15" s="90">
        <f ca="1">(F15*G15)/1000000</f>
        <v>3.7599999999999998E-4</v>
      </c>
      <c r="I15" s="91">
        <f ca="1">I22/H15</f>
        <v>1329787.2340425532</v>
      </c>
      <c r="J15" s="92">
        <f>C15+D15+20</f>
        <v>20</v>
      </c>
      <c r="K15" s="92">
        <f>G15+15</f>
        <v>23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47</v>
      </c>
      <c r="O15" s="6"/>
    </row>
    <row r="16" spans="1:20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51</v>
      </c>
      <c r="G16" s="87">
        <f>SUM(B22:D22)</f>
        <v>12</v>
      </c>
      <c r="H16" s="93">
        <f ca="1">F16*G16/1000000</f>
        <v>6.1200000000000002E-4</v>
      </c>
      <c r="I16" s="91">
        <f ca="1">I22/H16</f>
        <v>816993.46405228751</v>
      </c>
      <c r="J16" s="92">
        <f>C15+D15+20</f>
        <v>20</v>
      </c>
      <c r="K16" s="92">
        <f>G16+15</f>
        <v>27</v>
      </c>
      <c r="L16" s="104"/>
      <c r="N16">
        <f ca="1">IF(((($C$3+$D$3)*2+51)&lt;=2900)*AND($M$3=1),($C$3+$D$3)*2+51,IF(((($C$3+$D$3)*2+51)&gt;=2855),2*F22,($C$3+$D$3)*2+51))</f>
        <v>51</v>
      </c>
    </row>
    <row r="17" spans="1:15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55</v>
      </c>
      <c r="G17" s="87">
        <f>SUM(B23:D23)</f>
        <v>16</v>
      </c>
      <c r="H17" s="93">
        <f ca="1">F17*G17/1000000</f>
        <v>8.8000000000000003E-4</v>
      </c>
      <c r="I17" s="91">
        <f ca="1">I22/H17</f>
        <v>568181.81818181812</v>
      </c>
      <c r="J17" s="92">
        <f>C15+D15+40</f>
        <v>40</v>
      </c>
      <c r="K17" s="92">
        <f>G17+15</f>
        <v>31</v>
      </c>
      <c r="L17" s="104"/>
      <c r="N17">
        <f ca="1">IF(((($C$3+$D$3)*2+55)&lt;=2900)*AND($M$3=1),($C$3+$D$3)*2+55,IF(((($C$3+$D$3)*2+55)&gt;=2855),2*F23,($C$3+$D$3)*2+55))</f>
        <v>55</v>
      </c>
    </row>
    <row r="18" spans="1:15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63</v>
      </c>
      <c r="G18" s="87">
        <f>SUM(B24:D24)</f>
        <v>22</v>
      </c>
      <c r="H18" s="93">
        <f ca="1">F18*G18/1000000</f>
        <v>1.3860000000000001E-3</v>
      </c>
      <c r="I18" s="91">
        <f ca="1">I22/H18</f>
        <v>360750.36075036071</v>
      </c>
      <c r="J18" s="92">
        <f>C15+D15+40</f>
        <v>40</v>
      </c>
      <c r="K18" s="92">
        <f>G18+15</f>
        <v>37</v>
      </c>
      <c r="L18" s="104"/>
      <c r="N18">
        <f ca="1">IF(((($C$3+$D$3)*2+59)&lt;=2900)*AND($M$3=1),($C$3+$D$3)*2+59,IF(((($C$3+$D$3)*2+59)&gt;=2855),2*F24,($C$3+$D$3)*2+59))</f>
        <v>59</v>
      </c>
    </row>
    <row r="19" spans="1:15" ht="13.2">
      <c r="A19" s="260"/>
      <c r="E19" t="s">
        <v>35</v>
      </c>
      <c r="L19" s="104"/>
    </row>
    <row r="20" spans="1:15" ht="25.8">
      <c r="A20" s="260"/>
      <c r="B20" s="94" t="s">
        <v>71</v>
      </c>
      <c r="C20" s="94"/>
      <c r="D20" s="94"/>
      <c r="F20" s="261" t="s">
        <v>58</v>
      </c>
      <c r="G20" s="261"/>
      <c r="H20" s="87" t="s">
        <v>59</v>
      </c>
      <c r="I20" s="95" t="s">
        <v>63</v>
      </c>
      <c r="K20">
        <f>Kalk!G10</f>
        <v>0</v>
      </c>
      <c r="L20" s="104"/>
    </row>
    <row r="21" spans="1:15" ht="13.2">
      <c r="A21" s="260"/>
      <c r="B21" s="96">
        <f>ROUNDUP((D15/2)+1+(K20/2),0)</f>
        <v>1</v>
      </c>
      <c r="C21" s="97">
        <f>E15+6</f>
        <v>6</v>
      </c>
      <c r="D21" s="98">
        <f>ROUNDUP((D15/2)+1+(K20/2),0)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5" ht="13.2">
      <c r="A22" s="260"/>
      <c r="B22" s="101">
        <f>ROUNDUP((D15/2)+2+(K20/2),0)</f>
        <v>2</v>
      </c>
      <c r="C22" s="102">
        <f>E15+8</f>
        <v>8</v>
      </c>
      <c r="D22" s="103">
        <f>ROUNDUP((D15/2)+2+(K20/2),0)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5" ht="13.2">
      <c r="A23" s="260"/>
      <c r="B23" s="101">
        <f>ROUNDUP((D15/2)+3+(K20/2),0)</f>
        <v>3</v>
      </c>
      <c r="C23" s="102">
        <f>E15+10</f>
        <v>10</v>
      </c>
      <c r="D23" s="103">
        <f>ROUNDUP((D15/2)+3+(K20/2),0)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5" ht="13.2">
      <c r="A24" s="260"/>
      <c r="B24" s="101">
        <f>ROUNDUP((D15/2)+4+(K20/2),0)</f>
        <v>4</v>
      </c>
      <c r="C24" s="102">
        <f>E15+14</f>
        <v>14</v>
      </c>
      <c r="D24" s="103">
        <f>ROUNDUP((D15/2)+4+(K20/2),0)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5" ht="12.9" customHeight="1">
      <c r="L25" s="104"/>
      <c r="M25" s="265" t="s">
        <v>65</v>
      </c>
    </row>
    <row r="26" spans="1:15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5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47</v>
      </c>
      <c r="G27" s="87">
        <f>SUM(B33:D33)</f>
        <v>8</v>
      </c>
      <c r="H27" s="90">
        <f ca="1">(F27*G27)/1000000</f>
        <v>3.7599999999999998E-4</v>
      </c>
      <c r="I27" s="91">
        <f ca="1">I34/H27</f>
        <v>1329787.2340425532</v>
      </c>
      <c r="J27" s="92">
        <f>C27+D27+20</f>
        <v>20</v>
      </c>
      <c r="K27" s="92">
        <f>G27+15</f>
        <v>23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47</v>
      </c>
      <c r="O27" s="6"/>
    </row>
    <row r="28" spans="1:15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51</v>
      </c>
      <c r="G28" s="87">
        <f>SUM(B34:D34)</f>
        <v>12</v>
      </c>
      <c r="H28" s="93">
        <f ca="1">F28*G28/1000000</f>
        <v>6.1200000000000002E-4</v>
      </c>
      <c r="I28" s="91">
        <f ca="1">I34/H28</f>
        <v>816993.46405228751</v>
      </c>
      <c r="J28" s="92">
        <f>C27+D27+20</f>
        <v>20</v>
      </c>
      <c r="K28" s="92">
        <f>G28+15</f>
        <v>27</v>
      </c>
      <c r="L28" s="104"/>
      <c r="N28">
        <f ca="1">IF(((($C$3+$D$3)*2+51)&lt;=2900)*AND($M$3=1),($C$3+$D$3)*2+51,IF(((($C$3+$D$3)*2+51)&gt;=2855),2*F34,($C$3+$D$3)*2+51))</f>
        <v>51</v>
      </c>
    </row>
    <row r="29" spans="1:15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55</v>
      </c>
      <c r="G29" s="87">
        <f>SUM(B35:D35)</f>
        <v>16</v>
      </c>
      <c r="H29" s="93">
        <f ca="1">F29*G29/1000000</f>
        <v>8.8000000000000003E-4</v>
      </c>
      <c r="I29" s="91">
        <f ca="1">I34/H29</f>
        <v>568181.81818181812</v>
      </c>
      <c r="J29" s="92">
        <f>C27+D27+40</f>
        <v>40</v>
      </c>
      <c r="K29" s="92">
        <f>G29+15</f>
        <v>31</v>
      </c>
      <c r="L29" s="104"/>
      <c r="N29">
        <f ca="1">IF(((($C$3+$D$3)*2+55)&lt;=2900)*AND($M$3=1),($C$3+$D$3)*2+55,IF(((($C$3+$D$3)*2+55)&gt;=2855),2*F35,($C$3+$D$3)*2+55))</f>
        <v>55</v>
      </c>
    </row>
    <row r="30" spans="1:15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63</v>
      </c>
      <c r="G30" s="87">
        <f>SUM(B36:D36)</f>
        <v>22</v>
      </c>
      <c r="H30" s="93">
        <f ca="1">F30*G30/1000000</f>
        <v>1.3860000000000001E-3</v>
      </c>
      <c r="I30" s="91">
        <f ca="1">I34/H30</f>
        <v>360750.36075036071</v>
      </c>
      <c r="J30" s="92">
        <f>C27+D27+40</f>
        <v>40</v>
      </c>
      <c r="K30" s="92">
        <f>G30+15</f>
        <v>37</v>
      </c>
      <c r="L30" s="104"/>
      <c r="N30">
        <f ca="1">IF(((($C$3+$D$3)*2+59)&lt;=2900)*AND($M$3=1),($C$3+$D$3)*2+59,IF(((($C$3+$D$3)*2+59)&gt;=2855),2*F36,($C$3+$D$3)*2+59))</f>
        <v>59</v>
      </c>
    </row>
    <row r="31" spans="1:15" ht="13.2">
      <c r="A31" s="260"/>
      <c r="E31" t="s">
        <v>35</v>
      </c>
      <c r="L31" s="104"/>
    </row>
    <row r="32" spans="1:15" ht="25.8">
      <c r="A32" s="260"/>
      <c r="B32" s="94" t="s">
        <v>71</v>
      </c>
      <c r="C32" s="94"/>
      <c r="D32" s="94"/>
      <c r="F32" s="261" t="s">
        <v>58</v>
      </c>
      <c r="G32" s="261"/>
      <c r="H32" s="87" t="s">
        <v>59</v>
      </c>
      <c r="I32" s="95" t="s">
        <v>63</v>
      </c>
      <c r="K32">
        <f>Kalk!G14</f>
        <v>0</v>
      </c>
      <c r="L32" s="104"/>
    </row>
    <row r="33" spans="1:15" ht="13.2">
      <c r="A33" s="260"/>
      <c r="B33" s="96">
        <f>ROUNDUP((D27/2)+1+(K32/2),0)</f>
        <v>1</v>
      </c>
      <c r="C33" s="97">
        <f>E27+6</f>
        <v>6</v>
      </c>
      <c r="D33" s="98">
        <f>ROUNDUP((D27/2)+1+(K32/2),0)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5" ht="13.2">
      <c r="A34" s="260"/>
      <c r="B34" s="101">
        <f>ROUNDUP((D27/2)+2+(K32/2),0)</f>
        <v>2</v>
      </c>
      <c r="C34" s="102">
        <f>E27+8</f>
        <v>8</v>
      </c>
      <c r="D34" s="103">
        <f>ROUNDUP((D27/2)+2+(K32/2),0)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5" ht="13.2">
      <c r="A35" s="260"/>
      <c r="B35" s="101">
        <f>ROUNDUP((D27/2)+3+(K32/2),0)</f>
        <v>3</v>
      </c>
      <c r="C35" s="102">
        <f>E27+10</f>
        <v>10</v>
      </c>
      <c r="D35" s="103">
        <f>ROUNDUP((D27/2)+3+(K32/2),0)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5" ht="13.2">
      <c r="A36" s="260"/>
      <c r="B36" s="101">
        <f>ROUNDUP((D27/2)+4+(K32/2),0)</f>
        <v>4</v>
      </c>
      <c r="C36" s="102">
        <f>E27+14</f>
        <v>14</v>
      </c>
      <c r="D36" s="103">
        <f>ROUNDUP((D27/2)+4+(K32/2),0)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5" ht="12.9" customHeight="1">
      <c r="L37" s="104"/>
      <c r="M37" s="265" t="s">
        <v>65</v>
      </c>
    </row>
    <row r="38" spans="1:15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5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47</v>
      </c>
      <c r="G39" s="87">
        <f>SUM(B45:D45)</f>
        <v>8</v>
      </c>
      <c r="H39" s="90">
        <f ca="1">(F39*G39)/1000000</f>
        <v>3.7599999999999998E-4</v>
      </c>
      <c r="I39" s="91">
        <f ca="1">I46/H39</f>
        <v>1329787.2340425532</v>
      </c>
      <c r="J39" s="92">
        <f>C39+D39+20</f>
        <v>20</v>
      </c>
      <c r="K39" s="92">
        <f>G39+15</f>
        <v>23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47</v>
      </c>
      <c r="O39" s="6"/>
    </row>
    <row r="40" spans="1:15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51</v>
      </c>
      <c r="G40" s="87">
        <f>SUM(B46:D46)</f>
        <v>12</v>
      </c>
      <c r="H40" s="93">
        <f ca="1">F40*G40/1000000</f>
        <v>6.1200000000000002E-4</v>
      </c>
      <c r="I40" s="91">
        <f ca="1">I46/H40</f>
        <v>816993.46405228751</v>
      </c>
      <c r="J40" s="92">
        <f>C39+D39+20</f>
        <v>20</v>
      </c>
      <c r="K40" s="92">
        <f>G40+15</f>
        <v>27</v>
      </c>
      <c r="L40" s="104"/>
      <c r="N40">
        <f ca="1">IF(((($C$3+$D$3)*2+51)&lt;=2900)*AND($M$3=1),($C$3+$D$3)*2+51,IF(((($C$3+$D$3)*2+51)&gt;=2855),2*F46,($C$3+$D$3)*2+51))</f>
        <v>51</v>
      </c>
    </row>
    <row r="41" spans="1:15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55</v>
      </c>
      <c r="G41" s="87">
        <f>SUM(B47:D47)</f>
        <v>16</v>
      </c>
      <c r="H41" s="93">
        <f ca="1">F41*G41/1000000</f>
        <v>8.8000000000000003E-4</v>
      </c>
      <c r="I41" s="91">
        <f ca="1">I46/H41</f>
        <v>568181.81818181812</v>
      </c>
      <c r="J41" s="92">
        <f>C39+D39+40</f>
        <v>40</v>
      </c>
      <c r="K41" s="92">
        <f>G41+15</f>
        <v>31</v>
      </c>
      <c r="L41" s="104"/>
      <c r="N41">
        <f ca="1">IF(((($C$3+$D$3)*2+55)&lt;=2900)*AND($M$3=1),($C$3+$D$3)*2+55,IF(((($C$3+$D$3)*2+55)&gt;=2855),2*F47,($C$3+$D$3)*2+55))</f>
        <v>55</v>
      </c>
    </row>
    <row r="42" spans="1:15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63</v>
      </c>
      <c r="G42" s="87">
        <f>SUM(B48:D48)</f>
        <v>22</v>
      </c>
      <c r="H42" s="93">
        <f ca="1">F42*G42/1000000</f>
        <v>1.3860000000000001E-3</v>
      </c>
      <c r="I42" s="91">
        <f ca="1">I46/H42</f>
        <v>360750.36075036071</v>
      </c>
      <c r="J42" s="92">
        <f>C39+D39+40</f>
        <v>40</v>
      </c>
      <c r="K42" s="92">
        <f>G42+15</f>
        <v>37</v>
      </c>
      <c r="L42" s="104"/>
      <c r="N42">
        <f ca="1">IF(((($C$3+$D$3)*2+59)&lt;=2900)*AND($M$3=1),($C$3+$D$3)*2+59,IF(((($C$3+$D$3)*2+59)&gt;=2855),2*F48,($C$3+$D$3)*2+59))</f>
        <v>59</v>
      </c>
    </row>
    <row r="43" spans="1:15" ht="13.2">
      <c r="A43" s="260"/>
      <c r="E43" t="s">
        <v>35</v>
      </c>
      <c r="L43" s="104"/>
    </row>
    <row r="44" spans="1:15" ht="25.8">
      <c r="A44" s="260"/>
      <c r="B44" s="94" t="s">
        <v>71</v>
      </c>
      <c r="C44" s="94"/>
      <c r="D44" s="94"/>
      <c r="F44" s="261" t="s">
        <v>58</v>
      </c>
      <c r="G44" s="261"/>
      <c r="H44" s="87" t="s">
        <v>59</v>
      </c>
      <c r="I44" s="95" t="s">
        <v>63</v>
      </c>
      <c r="K44">
        <f>Kalk!G18</f>
        <v>0</v>
      </c>
      <c r="L44" s="104"/>
    </row>
    <row r="45" spans="1:15" ht="13.2">
      <c r="A45" s="260"/>
      <c r="B45" s="96">
        <f>ROUNDUP((D39/2)+1+(K44/2),0)</f>
        <v>1</v>
      </c>
      <c r="C45" s="97">
        <f>E39+6</f>
        <v>6</v>
      </c>
      <c r="D45" s="98">
        <f>ROUNDUP((D39/2)+1+(K44/2),0)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5" ht="13.2">
      <c r="A46" s="260"/>
      <c r="B46" s="101">
        <f>ROUNDUP((D39/2)+2+(K44/2),0)</f>
        <v>2</v>
      </c>
      <c r="C46" s="102">
        <f>E39+8</f>
        <v>8</v>
      </c>
      <c r="D46" s="103">
        <f>ROUNDUP((D39/2)+2+(K44/2),0)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5" ht="13.2">
      <c r="A47" s="260"/>
      <c r="B47" s="101">
        <f>ROUNDUP((D39/2)+3+(K44/2),0)</f>
        <v>3</v>
      </c>
      <c r="C47" s="102">
        <f>E39+10</f>
        <v>10</v>
      </c>
      <c r="D47" s="103">
        <f>ROUNDUP((D39/2)+3+(K44/2),0)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5" ht="13.2">
      <c r="A48" s="260"/>
      <c r="B48" s="101">
        <f>ROUNDUP((D39/2)+4+(K44/2),0)</f>
        <v>4</v>
      </c>
      <c r="C48" s="102">
        <f>E39+14</f>
        <v>14</v>
      </c>
      <c r="D48" s="103">
        <f>ROUNDUP((D39/2)+4+(K44/2),0)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5" ht="12.9" customHeight="1">
      <c r="L49" s="104"/>
      <c r="M49" s="265" t="s">
        <v>65</v>
      </c>
    </row>
    <row r="50" spans="1:15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5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47</v>
      </c>
      <c r="G51" s="87">
        <f>SUM(B57:D57)</f>
        <v>8</v>
      </c>
      <c r="H51" s="90">
        <f ca="1">(F51*G51)/1000000</f>
        <v>3.7599999999999998E-4</v>
      </c>
      <c r="I51" s="91">
        <f ca="1">I58/H51</f>
        <v>1329787.2340425532</v>
      </c>
      <c r="J51" s="92">
        <f>C51+D51+20</f>
        <v>20</v>
      </c>
      <c r="K51" s="92">
        <f>G51+15</f>
        <v>23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47</v>
      </c>
      <c r="O51" s="6"/>
    </row>
    <row r="52" spans="1:15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51</v>
      </c>
      <c r="G52" s="87">
        <f>SUM(B58:D58)</f>
        <v>12</v>
      </c>
      <c r="H52" s="93">
        <f ca="1">F52*G52/1000000</f>
        <v>6.1200000000000002E-4</v>
      </c>
      <c r="I52" s="91">
        <f ca="1">I58/H52</f>
        <v>816993.46405228751</v>
      </c>
      <c r="J52" s="92">
        <f>C51+D51+20</f>
        <v>20</v>
      </c>
      <c r="K52" s="92">
        <f>G52+15</f>
        <v>27</v>
      </c>
      <c r="L52" s="104"/>
      <c r="N52">
        <f ca="1">IF(((($C$3+$D$3)*2+51)&lt;=2900)*AND($M$3=1),($C$3+$D$3)*2+51,IF(((($C$3+$D$3)*2+51)&gt;=2855),2*F58,($C$3+$D$3)*2+51))</f>
        <v>51</v>
      </c>
    </row>
    <row r="53" spans="1:15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55</v>
      </c>
      <c r="G53" s="87">
        <f>SUM(B59:D59)</f>
        <v>16</v>
      </c>
      <c r="H53" s="93">
        <f ca="1">F53*G53/1000000</f>
        <v>8.8000000000000003E-4</v>
      </c>
      <c r="I53" s="91">
        <f ca="1">I58/H53</f>
        <v>568181.81818181812</v>
      </c>
      <c r="J53" s="92">
        <f>C51+D51+40</f>
        <v>40</v>
      </c>
      <c r="K53" s="92">
        <f>G53+15</f>
        <v>31</v>
      </c>
      <c r="L53" s="104"/>
      <c r="N53">
        <f ca="1">IF(((($C$3+$D$3)*2+55)&lt;=2900)*AND($M$3=1),($C$3+$D$3)*2+55,IF(((($C$3+$D$3)*2+55)&gt;=2855),2*F59,($C$3+$D$3)*2+55))</f>
        <v>55</v>
      </c>
    </row>
    <row r="54" spans="1:15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63</v>
      </c>
      <c r="G54" s="87">
        <f>SUM(B60:D60)</f>
        <v>22</v>
      </c>
      <c r="H54" s="93">
        <f ca="1">F54*G54/1000000</f>
        <v>1.3860000000000001E-3</v>
      </c>
      <c r="I54" s="91">
        <f ca="1">I58/H54</f>
        <v>360750.36075036071</v>
      </c>
      <c r="J54" s="92">
        <f>C51+D51+40</f>
        <v>40</v>
      </c>
      <c r="K54" s="92">
        <f>G54+15</f>
        <v>37</v>
      </c>
      <c r="L54" s="104"/>
      <c r="N54">
        <f ca="1">IF(((($C$3+$D$3)*2+59)&lt;=2900)*AND($M$3=1),($C$3+$D$3)*2+59,IF(((($C$3+$D$3)*2+59)&gt;=2855),2*F60,($C$3+$D$3)*2+59))</f>
        <v>59</v>
      </c>
    </row>
    <row r="55" spans="1:15" ht="13.2">
      <c r="A55" s="260"/>
      <c r="E55" t="s">
        <v>35</v>
      </c>
      <c r="L55" s="104"/>
    </row>
    <row r="56" spans="1:15" ht="25.8">
      <c r="A56" s="260"/>
      <c r="B56" s="94" t="s">
        <v>71</v>
      </c>
      <c r="C56" s="94"/>
      <c r="D56" s="94"/>
      <c r="F56" s="261" t="s">
        <v>58</v>
      </c>
      <c r="G56" s="261"/>
      <c r="H56" s="87" t="s">
        <v>59</v>
      </c>
      <c r="I56" s="95" t="s">
        <v>63</v>
      </c>
      <c r="K56">
        <f>Kalk!G22</f>
        <v>0</v>
      </c>
      <c r="L56" s="104"/>
    </row>
    <row r="57" spans="1:15" ht="13.2">
      <c r="A57" s="260"/>
      <c r="B57" s="96">
        <f>ROUNDUP((D51/2)+1+(K56/2),0)</f>
        <v>1</v>
      </c>
      <c r="C57" s="97">
        <f>E51+6</f>
        <v>6</v>
      </c>
      <c r="D57" s="98">
        <f>ROUNDUP((D51/2)+1+(K56/2),0)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5" ht="13.2">
      <c r="A58" s="260"/>
      <c r="B58" s="101">
        <f>ROUNDUP((D51/2)+2+(K56/2),0)</f>
        <v>2</v>
      </c>
      <c r="C58" s="102">
        <f>E51+8</f>
        <v>8</v>
      </c>
      <c r="D58" s="103">
        <f>ROUNDUP((D51/2)+2+(K56/2),0)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5" ht="13.2">
      <c r="A59" s="260"/>
      <c r="B59" s="101">
        <f>ROUNDUP((D51/2)+3+(K56/2),0)</f>
        <v>3</v>
      </c>
      <c r="C59" s="102">
        <f>E51+10</f>
        <v>10</v>
      </c>
      <c r="D59" s="103">
        <f>ROUNDUP((D51/2)+3+(K56/2),0)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5" ht="13.2">
      <c r="A60" s="260"/>
      <c r="B60" s="101">
        <f>ROUNDUP((D51/2)+4+(K56/2),0)</f>
        <v>4</v>
      </c>
      <c r="C60" s="102">
        <f>E51+14</f>
        <v>14</v>
      </c>
      <c r="D60" s="103">
        <f>ROUNDUP((D51/2)+4+(K56/2),0)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5" ht="12.9" customHeight="1">
      <c r="L61" s="104"/>
      <c r="M61" s="265" t="s">
        <v>65</v>
      </c>
    </row>
    <row r="62" spans="1:15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5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47</v>
      </c>
      <c r="G63" s="87">
        <f>SUM(B69:D69)</f>
        <v>8</v>
      </c>
      <c r="H63" s="90">
        <f ca="1">(F63*G63)/1000000</f>
        <v>3.7599999999999998E-4</v>
      </c>
      <c r="I63" s="91">
        <f ca="1">I70/H63</f>
        <v>1329787.2340425532</v>
      </c>
      <c r="J63" s="92">
        <f>C63+D63+20</f>
        <v>20</v>
      </c>
      <c r="K63" s="92">
        <f>G63+15</f>
        <v>23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47</v>
      </c>
      <c r="O63" s="6"/>
    </row>
    <row r="64" spans="1:15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51</v>
      </c>
      <c r="G64" s="87">
        <f>SUM(B70:D70)</f>
        <v>12</v>
      </c>
      <c r="H64" s="93">
        <f ca="1">F64*G64/1000000</f>
        <v>6.1200000000000002E-4</v>
      </c>
      <c r="I64" s="91">
        <f ca="1">I70/H64</f>
        <v>816993.46405228751</v>
      </c>
      <c r="J64" s="92">
        <f>C63+D63+20</f>
        <v>20</v>
      </c>
      <c r="K64" s="92">
        <f>G64+15</f>
        <v>27</v>
      </c>
      <c r="L64" s="104"/>
      <c r="N64">
        <f ca="1">IF(((($C$3+$D$3)*2+51)&lt;=2900)*AND($M$3=1),($C$3+$D$3)*2+51,IF(((($C$3+$D$3)*2+51)&gt;=2855),2*F70,($C$3+$D$3)*2+51))</f>
        <v>51</v>
      </c>
    </row>
    <row r="65" spans="1:15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55</v>
      </c>
      <c r="G65" s="87">
        <f>SUM(B71:D71)</f>
        <v>16</v>
      </c>
      <c r="H65" s="93">
        <f ca="1">F65*G65/1000000</f>
        <v>8.8000000000000003E-4</v>
      </c>
      <c r="I65" s="91">
        <f ca="1">I70/H65</f>
        <v>568181.81818181812</v>
      </c>
      <c r="J65" s="92">
        <f>C63+D63+40</f>
        <v>40</v>
      </c>
      <c r="K65" s="92">
        <f>G65+15</f>
        <v>31</v>
      </c>
      <c r="L65" s="104"/>
      <c r="N65">
        <f ca="1">IF(((($C$3+$D$3)*2+55)&lt;=2900)*AND($M$3=1),($C$3+$D$3)*2+55,IF(((($C$3+$D$3)*2+55)&gt;=2855),2*F71,($C$3+$D$3)*2+55))</f>
        <v>55</v>
      </c>
    </row>
    <row r="66" spans="1:15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63</v>
      </c>
      <c r="G66" s="87">
        <f>SUM(B72:D72)</f>
        <v>22</v>
      </c>
      <c r="H66" s="93">
        <f ca="1">F66*G66/1000000</f>
        <v>1.3860000000000001E-3</v>
      </c>
      <c r="I66" s="91">
        <f ca="1">I70/H66</f>
        <v>360750.36075036071</v>
      </c>
      <c r="J66" s="92">
        <f>C63+D63+40</f>
        <v>40</v>
      </c>
      <c r="K66" s="92">
        <f>G66+15</f>
        <v>37</v>
      </c>
      <c r="L66" s="104"/>
      <c r="N66">
        <f ca="1">IF(((($C$3+$D$3)*2+59)&lt;=2900)*AND($M$3=1),($C$3+$D$3)*2+59,IF(((($C$3+$D$3)*2+59)&gt;=2855),2*F72,($C$3+$D$3)*2+59))</f>
        <v>59</v>
      </c>
    </row>
    <row r="67" spans="1:15" ht="13.2">
      <c r="A67" s="260"/>
      <c r="E67" t="s">
        <v>35</v>
      </c>
      <c r="L67" s="104"/>
    </row>
    <row r="68" spans="1:15" ht="25.8">
      <c r="A68" s="260"/>
      <c r="B68" s="94" t="s">
        <v>71</v>
      </c>
      <c r="C68" s="94"/>
      <c r="D68" s="94"/>
      <c r="F68" s="261" t="s">
        <v>58</v>
      </c>
      <c r="G68" s="261"/>
      <c r="H68" s="87" t="s">
        <v>59</v>
      </c>
      <c r="I68" s="95" t="s">
        <v>63</v>
      </c>
      <c r="K68">
        <f>Kalk!G26</f>
        <v>0</v>
      </c>
      <c r="L68" s="104"/>
    </row>
    <row r="69" spans="1:15" ht="13.2">
      <c r="A69" s="260"/>
      <c r="B69" s="96">
        <f>ROUNDUP((D63/2)+1+(K68/2),0)</f>
        <v>1</v>
      </c>
      <c r="C69" s="97">
        <f>E63+6</f>
        <v>6</v>
      </c>
      <c r="D69" s="98">
        <f>ROUNDUP((D63/2)+1+(K68/2),0)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5" ht="13.2">
      <c r="A70" s="260"/>
      <c r="B70" s="101">
        <f>ROUNDUP((D63/2)+2+(K68/2),0)</f>
        <v>2</v>
      </c>
      <c r="C70" s="102">
        <f>E63+8</f>
        <v>8</v>
      </c>
      <c r="D70" s="103">
        <f>ROUNDUP((D63/2)+2+(K68/2),0)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5" ht="13.2">
      <c r="A71" s="260"/>
      <c r="B71" s="101">
        <f>ROUNDUP((D63/2)+3+(K68/2),0)</f>
        <v>3</v>
      </c>
      <c r="C71" s="102">
        <f>E63+10</f>
        <v>10</v>
      </c>
      <c r="D71" s="103">
        <f>ROUNDUP((D63/2)+3+(K68/2),0)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5" ht="13.2">
      <c r="A72" s="260"/>
      <c r="B72" s="101">
        <f>ROUNDUP((D63/2)+4+(K68/2),0)</f>
        <v>4</v>
      </c>
      <c r="C72" s="102">
        <f>E63+14</f>
        <v>14</v>
      </c>
      <c r="D72" s="103">
        <f>ROUNDUP((D63/2)+4+(K68/2),0)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5" ht="12.9" customHeight="1">
      <c r="L73" s="104"/>
      <c r="M73" s="265" t="s">
        <v>65</v>
      </c>
    </row>
    <row r="74" spans="1:15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5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47</v>
      </c>
      <c r="G75" s="87">
        <f>SUM(B81:D81)</f>
        <v>8</v>
      </c>
      <c r="H75" s="90">
        <f ca="1">(F75*G75)/1000000</f>
        <v>3.7599999999999998E-4</v>
      </c>
      <c r="I75" s="91">
        <f ca="1">I82/H75</f>
        <v>1329787.2340425532</v>
      </c>
      <c r="J75" s="92">
        <f>C75+D75+20</f>
        <v>20</v>
      </c>
      <c r="K75" s="92">
        <f>G75+15</f>
        <v>23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47</v>
      </c>
      <c r="O75" s="6"/>
    </row>
    <row r="76" spans="1:15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51</v>
      </c>
      <c r="G76" s="87">
        <f>SUM(B82:D82)</f>
        <v>12</v>
      </c>
      <c r="H76" s="93">
        <f ca="1">F76*G76/1000000</f>
        <v>6.1200000000000002E-4</v>
      </c>
      <c r="I76" s="91">
        <f ca="1">I82/H76</f>
        <v>816993.46405228751</v>
      </c>
      <c r="J76" s="92">
        <f>C75+D75+20</f>
        <v>20</v>
      </c>
      <c r="K76" s="92">
        <f>G76+15</f>
        <v>27</v>
      </c>
      <c r="L76" s="104"/>
      <c r="N76">
        <f ca="1">IF(((($C$3+$D$3)*2+51)&lt;=2900)*AND($M$3=1),($C$3+$D$3)*2+51,IF(((($C$3+$D$3)*2+51)&gt;=2855),2*F82,($C$3+$D$3)*2+51))</f>
        <v>51</v>
      </c>
    </row>
    <row r="77" spans="1:15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55</v>
      </c>
      <c r="G77" s="87">
        <f>SUM(B83:D83)</f>
        <v>16</v>
      </c>
      <c r="H77" s="93">
        <f ca="1">F77*G77/1000000</f>
        <v>8.8000000000000003E-4</v>
      </c>
      <c r="I77" s="91">
        <f ca="1">I82/H77</f>
        <v>568181.81818181812</v>
      </c>
      <c r="J77" s="92">
        <f>C75+D75+40</f>
        <v>40</v>
      </c>
      <c r="K77" s="92">
        <f>G77+15</f>
        <v>31</v>
      </c>
      <c r="L77" s="104"/>
      <c r="N77">
        <f ca="1">IF(((($C$3+$D$3)*2+55)&lt;=2900)*AND($M$3=1),($C$3+$D$3)*2+55,IF(((($C$3+$D$3)*2+55)&gt;=2855),2*F83,($C$3+$D$3)*2+55))</f>
        <v>55</v>
      </c>
    </row>
    <row r="78" spans="1:15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63</v>
      </c>
      <c r="G78" s="87">
        <f>SUM(B84:D84)</f>
        <v>22</v>
      </c>
      <c r="H78" s="93">
        <f ca="1">F78*G78/1000000</f>
        <v>1.3860000000000001E-3</v>
      </c>
      <c r="I78" s="91">
        <f ca="1">I82/H78</f>
        <v>360750.36075036071</v>
      </c>
      <c r="J78" s="92">
        <f>C75+D75+40</f>
        <v>40</v>
      </c>
      <c r="K78" s="92">
        <f>G78+15</f>
        <v>37</v>
      </c>
      <c r="L78" s="104"/>
      <c r="N78">
        <f ca="1">IF(((($C$3+$D$3)*2+59)&lt;=2900)*AND($M$3=1),($C$3+$D$3)*2+59,IF(((($C$3+$D$3)*2+59)&gt;=2855),2*F84,($C$3+$D$3)*2+59))</f>
        <v>59</v>
      </c>
    </row>
    <row r="79" spans="1:15" ht="13.2">
      <c r="A79" s="260"/>
      <c r="E79" t="s">
        <v>35</v>
      </c>
      <c r="L79" s="104"/>
    </row>
    <row r="80" spans="1:15" ht="25.8">
      <c r="A80" s="260"/>
      <c r="B80" s="94" t="s">
        <v>71</v>
      </c>
      <c r="C80" s="94"/>
      <c r="D80" s="94"/>
      <c r="F80" s="261" t="s">
        <v>58</v>
      </c>
      <c r="G80" s="261"/>
      <c r="H80" s="87" t="s">
        <v>59</v>
      </c>
      <c r="I80" s="95" t="s">
        <v>63</v>
      </c>
      <c r="K80">
        <f>Kalk!G30</f>
        <v>0</v>
      </c>
      <c r="L80" s="104"/>
    </row>
    <row r="81" spans="1:15" ht="13.2">
      <c r="A81" s="260"/>
      <c r="B81" s="96">
        <f>ROUNDUP((D75/2)+1+(K80/2),0)</f>
        <v>1</v>
      </c>
      <c r="C81" s="97">
        <f>E75+6</f>
        <v>6</v>
      </c>
      <c r="D81" s="98">
        <f>ROUNDUP((D75/2)+1+(K80/2),0)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5" ht="13.2">
      <c r="A82" s="260"/>
      <c r="B82" s="101">
        <f>ROUNDUP((D75/2)+2+(K80/2),0)</f>
        <v>2</v>
      </c>
      <c r="C82" s="102">
        <f>E75+8</f>
        <v>8</v>
      </c>
      <c r="D82" s="103">
        <f>ROUNDUP((D75/2)+2+(K80/2),0)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5" ht="13.2">
      <c r="A83" s="260"/>
      <c r="B83" s="101">
        <f>ROUNDUP((D75/2)+3+(K80/2),0)</f>
        <v>3</v>
      </c>
      <c r="C83" s="102">
        <f>E75+10</f>
        <v>10</v>
      </c>
      <c r="D83" s="103">
        <f>ROUNDUP((D75/2)+3+(K80/2),0)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5" ht="13.2">
      <c r="A84" s="260"/>
      <c r="B84" s="101">
        <f>ROUNDUP((D75/2)+4+(K80/2),0)</f>
        <v>4</v>
      </c>
      <c r="C84" s="102">
        <f>E75+14</f>
        <v>14</v>
      </c>
      <c r="D84" s="103">
        <f>ROUNDUP((D75/2)+4+(K80/2),0)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5" ht="12.9" customHeight="1">
      <c r="L85" s="104"/>
      <c r="M85" s="265" t="s">
        <v>65</v>
      </c>
    </row>
    <row r="86" spans="1:15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5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47</v>
      </c>
      <c r="G87" s="87">
        <f>SUM(B93:D93)</f>
        <v>8</v>
      </c>
      <c r="H87" s="90">
        <f ca="1">(F87*G87)/1000000</f>
        <v>3.7599999999999998E-4</v>
      </c>
      <c r="I87" s="91">
        <f ca="1">I94/H87</f>
        <v>1329787.2340425532</v>
      </c>
      <c r="J87" s="92">
        <f>C87+D87+20</f>
        <v>20</v>
      </c>
      <c r="K87" s="92">
        <f>G87+15</f>
        <v>23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47</v>
      </c>
      <c r="O87" s="6"/>
    </row>
    <row r="88" spans="1:15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51</v>
      </c>
      <c r="G88" s="87">
        <f>SUM(B94:D94)</f>
        <v>12</v>
      </c>
      <c r="H88" s="93">
        <f ca="1">F88*G88/1000000</f>
        <v>6.1200000000000002E-4</v>
      </c>
      <c r="I88" s="91">
        <f ca="1">I94/H88</f>
        <v>816993.46405228751</v>
      </c>
      <c r="J88" s="92">
        <f>C87+D87+20</f>
        <v>20</v>
      </c>
      <c r="K88" s="92">
        <f>G88+15</f>
        <v>27</v>
      </c>
      <c r="L88" s="104"/>
      <c r="N88">
        <f ca="1">IF(((($C$3+$D$3)*2+51)&lt;=2900)*AND($M$3=1),($C$3+$D$3)*2+51,IF(((($C$3+$D$3)*2+51)&gt;=2855),2*F94,($C$3+$D$3)*2+51))</f>
        <v>51</v>
      </c>
    </row>
    <row r="89" spans="1:15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55</v>
      </c>
      <c r="G89" s="87">
        <f>SUM(B95:D95)</f>
        <v>16</v>
      </c>
      <c r="H89" s="93">
        <f ca="1">F89*G89/1000000</f>
        <v>8.8000000000000003E-4</v>
      </c>
      <c r="I89" s="91">
        <f ca="1">I94/H89</f>
        <v>568181.81818181812</v>
      </c>
      <c r="J89" s="92">
        <f>C87+D87+40</f>
        <v>40</v>
      </c>
      <c r="K89" s="92">
        <f>G89+15</f>
        <v>31</v>
      </c>
      <c r="L89" s="104"/>
      <c r="N89">
        <f ca="1">IF(((($C$3+$D$3)*2+55)&lt;=2900)*AND($M$3=1),($C$3+$D$3)*2+55,IF(((($C$3+$D$3)*2+55)&gt;=2855),2*F95,($C$3+$D$3)*2+55))</f>
        <v>55</v>
      </c>
    </row>
    <row r="90" spans="1:15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63</v>
      </c>
      <c r="G90" s="87">
        <f>SUM(B96:D96)</f>
        <v>22</v>
      </c>
      <c r="H90" s="93">
        <f ca="1">F90*G90/1000000</f>
        <v>1.3860000000000001E-3</v>
      </c>
      <c r="I90" s="91">
        <f ca="1">I94/H90</f>
        <v>360750.36075036071</v>
      </c>
      <c r="J90" s="92">
        <f>C87+D87+40</f>
        <v>40</v>
      </c>
      <c r="K90" s="92">
        <f>G90+15</f>
        <v>37</v>
      </c>
      <c r="L90" s="104"/>
      <c r="N90">
        <f ca="1">IF(((($C$3+$D$3)*2+59)&lt;=2900)*AND($M$3=1),($C$3+$D$3)*2+59,IF(((($C$3+$D$3)*2+59)&gt;=2855),2*F96,($C$3+$D$3)*2+59))</f>
        <v>59</v>
      </c>
    </row>
    <row r="91" spans="1:15" ht="13.2">
      <c r="A91" s="260"/>
      <c r="E91" t="s">
        <v>35</v>
      </c>
      <c r="L91" s="104"/>
    </row>
    <row r="92" spans="1:15" ht="25.8">
      <c r="A92" s="260"/>
      <c r="B92" s="94" t="s">
        <v>71</v>
      </c>
      <c r="C92" s="94"/>
      <c r="D92" s="94"/>
      <c r="F92" s="261" t="s">
        <v>58</v>
      </c>
      <c r="G92" s="261"/>
      <c r="H92" s="87" t="s">
        <v>59</v>
      </c>
      <c r="I92" s="95" t="s">
        <v>63</v>
      </c>
      <c r="K92">
        <f>Kalk!G34</f>
        <v>0</v>
      </c>
      <c r="L92" s="104"/>
    </row>
    <row r="93" spans="1:15" ht="13.2">
      <c r="A93" s="260"/>
      <c r="B93" s="96">
        <f>ROUNDUP((D87/2)+1+(K92/2),0)</f>
        <v>1</v>
      </c>
      <c r="C93" s="97">
        <f>E87+6</f>
        <v>6</v>
      </c>
      <c r="D93" s="98">
        <f>ROUNDUP((D87/2)+1+(K92/2),0)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5" ht="13.2">
      <c r="A94" s="260"/>
      <c r="B94" s="101">
        <f>ROUNDUP((D87/2)+2+(K92/2),0)</f>
        <v>2</v>
      </c>
      <c r="C94" s="102">
        <f>E87+8</f>
        <v>8</v>
      </c>
      <c r="D94" s="103">
        <f>ROUNDUP((D87/2)+2+(K92/2),0)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5" ht="13.2">
      <c r="A95" s="260"/>
      <c r="B95" s="101">
        <f>ROUNDUP((D87/2)+3+(K92/2),0)</f>
        <v>3</v>
      </c>
      <c r="C95" s="102">
        <f>E87+10</f>
        <v>10</v>
      </c>
      <c r="D95" s="103">
        <f>ROUNDUP((D87/2)+3+(K92/2),0)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5" ht="13.2">
      <c r="A96" s="260"/>
      <c r="B96" s="101">
        <f>ROUNDUP((D87/2)+4+(K92/2),0)</f>
        <v>4</v>
      </c>
      <c r="C96" s="102">
        <f>E87+14</f>
        <v>14</v>
      </c>
      <c r="D96" s="103">
        <f>ROUNDUP((D87/2)+4+(K92/2),0)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5" ht="12.9" customHeight="1">
      <c r="L97" s="104"/>
      <c r="M97" s="265" t="s">
        <v>65</v>
      </c>
    </row>
    <row r="98" spans="1:15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5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47</v>
      </c>
      <c r="G99" s="87">
        <f>SUM(B105:D105)</f>
        <v>8</v>
      </c>
      <c r="H99" s="90">
        <f ca="1">(F99*G99)/1000000</f>
        <v>3.7599999999999998E-4</v>
      </c>
      <c r="I99" s="91">
        <f ca="1">I106/H99</f>
        <v>1329787.2340425532</v>
      </c>
      <c r="J99" s="92">
        <f>C99+D99+20</f>
        <v>20</v>
      </c>
      <c r="K99" s="92">
        <f>G99+15</f>
        <v>23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47</v>
      </c>
      <c r="O99" s="6"/>
    </row>
    <row r="100" spans="1:15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51</v>
      </c>
      <c r="G100" s="87">
        <f>SUM(B106:D106)</f>
        <v>12</v>
      </c>
      <c r="H100" s="93">
        <f ca="1">F100*G100/1000000</f>
        <v>6.1200000000000002E-4</v>
      </c>
      <c r="I100" s="91">
        <f ca="1">I106/H100</f>
        <v>816993.46405228751</v>
      </c>
      <c r="J100" s="92">
        <f>C99+D99+20</f>
        <v>20</v>
      </c>
      <c r="K100" s="92">
        <f>G100+15</f>
        <v>27</v>
      </c>
      <c r="L100" s="104"/>
      <c r="N100">
        <f ca="1">IF(((($C$3+$D$3)*2+51)&lt;=2900)*AND($M$3=1),($C$3+$D$3)*2+51,IF(((($C$3+$D$3)*2+51)&gt;=2855),2*F106,($C$3+$D$3)*2+51))</f>
        <v>51</v>
      </c>
    </row>
    <row r="101" spans="1:15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55</v>
      </c>
      <c r="G101" s="87">
        <f>SUM(B107:D107)</f>
        <v>16</v>
      </c>
      <c r="H101" s="93">
        <f ca="1">F101*G101/1000000</f>
        <v>8.8000000000000003E-4</v>
      </c>
      <c r="I101" s="91">
        <f ca="1">I106/H101</f>
        <v>568181.81818181812</v>
      </c>
      <c r="J101" s="92">
        <f>C99+D99+40</f>
        <v>40</v>
      </c>
      <c r="K101" s="92">
        <f>G101+15</f>
        <v>31</v>
      </c>
      <c r="L101" s="104"/>
      <c r="N101">
        <f ca="1">IF(((($C$3+$D$3)*2+55)&lt;=2900)*AND($M$3=1),($C$3+$D$3)*2+55,IF(((($C$3+$D$3)*2+55)&gt;=2855),2*F107,($C$3+$D$3)*2+55))</f>
        <v>55</v>
      </c>
    </row>
    <row r="102" spans="1:15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63</v>
      </c>
      <c r="G102" s="87">
        <f>SUM(B108:D108)</f>
        <v>22</v>
      </c>
      <c r="H102" s="93">
        <f ca="1">F102*G102/1000000</f>
        <v>1.3860000000000001E-3</v>
      </c>
      <c r="I102" s="91">
        <f ca="1">I106/H102</f>
        <v>360750.36075036071</v>
      </c>
      <c r="J102" s="92">
        <f>C99+D99+40</f>
        <v>40</v>
      </c>
      <c r="K102" s="92">
        <f>G102+15</f>
        <v>37</v>
      </c>
      <c r="L102" s="104"/>
      <c r="N102">
        <f ca="1">IF(((($C$3+$D$3)*2+59)&lt;=2900)*AND($M$3=1),($C$3+$D$3)*2+59,IF(((($C$3+$D$3)*2+59)&gt;=2855),2*F108,($C$3+$D$3)*2+59))</f>
        <v>59</v>
      </c>
    </row>
    <row r="103" spans="1:15" ht="13.2">
      <c r="A103" s="260"/>
      <c r="E103" t="s">
        <v>35</v>
      </c>
      <c r="L103" s="104"/>
    </row>
    <row r="104" spans="1:15" ht="25.8">
      <c r="A104" s="260"/>
      <c r="B104" s="94" t="s">
        <v>71</v>
      </c>
      <c r="C104" s="94"/>
      <c r="D104" s="94"/>
      <c r="F104" s="261" t="s">
        <v>58</v>
      </c>
      <c r="G104" s="261"/>
      <c r="H104" s="87" t="s">
        <v>59</v>
      </c>
      <c r="I104" s="95" t="s">
        <v>63</v>
      </c>
      <c r="K104">
        <f>Kalk!G38</f>
        <v>0</v>
      </c>
      <c r="L104" s="104"/>
    </row>
    <row r="105" spans="1:15" ht="13.2">
      <c r="A105" s="260"/>
      <c r="B105" s="96">
        <f>ROUNDUP((D99/2)+1+(K104/2),0)</f>
        <v>1</v>
      </c>
      <c r="C105" s="97">
        <f>E99+6</f>
        <v>6</v>
      </c>
      <c r="D105" s="98">
        <f>ROUNDUP((D99/2)+1+(K104/2),0)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5" ht="13.2">
      <c r="A106" s="260"/>
      <c r="B106" s="101">
        <f>ROUNDUP((D99/2)+2+(K104/2),0)</f>
        <v>2</v>
      </c>
      <c r="C106" s="102">
        <f>E99+8</f>
        <v>8</v>
      </c>
      <c r="D106" s="103">
        <f>ROUNDUP((D99/2)+2+(K104/2),0)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5" ht="13.2">
      <c r="A107" s="260"/>
      <c r="B107" s="101">
        <f>ROUNDUP((D99/2)+3+(K104/2),0)</f>
        <v>3</v>
      </c>
      <c r="C107" s="102">
        <f>E99+10</f>
        <v>10</v>
      </c>
      <c r="D107" s="103">
        <f>ROUNDUP((D99/2)+3+(K104/2),0)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5" ht="13.2">
      <c r="A108" s="260"/>
      <c r="B108" s="101">
        <f>ROUNDUP((D99/2)+4+(K104/2),0)</f>
        <v>4</v>
      </c>
      <c r="C108" s="102">
        <f>E99+14</f>
        <v>14</v>
      </c>
      <c r="D108" s="103">
        <f>ROUNDUP((D99/2)+4+(K104/2),0)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5" ht="12.9" customHeight="1">
      <c r="L109" s="104"/>
      <c r="M109" s="265" t="s">
        <v>65</v>
      </c>
    </row>
    <row r="110" spans="1:15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5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47</v>
      </c>
      <c r="G111" s="87">
        <f>SUM(B117:D117)</f>
        <v>8</v>
      </c>
      <c r="H111" s="90">
        <f ca="1">(F111*G111)/1000000</f>
        <v>3.7599999999999998E-4</v>
      </c>
      <c r="I111" s="91">
        <f ca="1">I118/H111</f>
        <v>1329787.2340425532</v>
      </c>
      <c r="J111" s="92">
        <f>C111+D111+20</f>
        <v>20</v>
      </c>
      <c r="K111" s="92">
        <f>G111+15</f>
        <v>23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47</v>
      </c>
      <c r="O111" s="6"/>
    </row>
    <row r="112" spans="1:15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51</v>
      </c>
      <c r="G112" s="87">
        <f>SUM(B118:D118)</f>
        <v>12</v>
      </c>
      <c r="H112" s="93">
        <f ca="1">F112*G112/1000000</f>
        <v>6.1200000000000002E-4</v>
      </c>
      <c r="I112" s="91">
        <f ca="1">I118/H112</f>
        <v>816993.46405228751</v>
      </c>
      <c r="J112" s="92">
        <f>C111+D111+20</f>
        <v>20</v>
      </c>
      <c r="K112" s="92">
        <f>G112+15</f>
        <v>27</v>
      </c>
      <c r="L112" s="104"/>
      <c r="N112">
        <f ca="1">IF(((($C$3+$D$3)*2+51)&lt;=2900)*AND($M$3=1),($C$3+$D$3)*2+51,IF(((($C$3+$D$3)*2+51)&gt;=2855),2*F118,($C$3+$D$3)*2+51))</f>
        <v>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55</v>
      </c>
      <c r="G113" s="87">
        <f>SUM(B119:D119)</f>
        <v>16</v>
      </c>
      <c r="H113" s="93">
        <f ca="1">F113*G113/1000000</f>
        <v>8.8000000000000003E-4</v>
      </c>
      <c r="I113" s="91">
        <f ca="1">I118/H113</f>
        <v>568181.81818181812</v>
      </c>
      <c r="J113" s="92">
        <f>C111+D111+40</f>
        <v>40</v>
      </c>
      <c r="K113" s="92">
        <f>G113+15</f>
        <v>31</v>
      </c>
      <c r="L113" s="104"/>
      <c r="N113">
        <f ca="1">IF(((($C$3+$D$3)*2+55)&lt;=2900)*AND($M$3=1),($C$3+$D$3)*2+55,IF(((($C$3+$D$3)*2+55)&gt;=2855),2*F119,($C$3+$D$3)*2+55))</f>
        <v>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63</v>
      </c>
      <c r="G114" s="87">
        <f>SUM(B120:D120)</f>
        <v>22</v>
      </c>
      <c r="H114" s="93">
        <f ca="1">F114*G114/1000000</f>
        <v>1.3860000000000001E-3</v>
      </c>
      <c r="I114" s="91">
        <f ca="1">I118/H114</f>
        <v>360750.36075036071</v>
      </c>
      <c r="J114" s="92">
        <f>C111+D111+40</f>
        <v>40</v>
      </c>
      <c r="K114" s="92">
        <f>G114+15</f>
        <v>37</v>
      </c>
      <c r="L114" s="104"/>
      <c r="N114">
        <f ca="1">IF(((($C$3+$D$3)*2+59)&lt;=2900)*AND($M$3=1),($C$3+$D$3)*2+59,IF(((($C$3+$D$3)*2+59)&gt;=2855),2*F120,($C$3+$D$3)*2+59))</f>
        <v>59</v>
      </c>
    </row>
    <row r="115" spans="1:14" ht="13.2">
      <c r="A115" s="260"/>
      <c r="E115" t="s">
        <v>35</v>
      </c>
      <c r="L115" s="104"/>
    </row>
    <row r="116" spans="1:14" ht="25.8">
      <c r="A116" s="260"/>
      <c r="B116" s="94" t="s">
        <v>71</v>
      </c>
      <c r="C116" s="94"/>
      <c r="D116" s="94"/>
      <c r="F116" s="261" t="s">
        <v>58</v>
      </c>
      <c r="G116" s="261"/>
      <c r="H116" s="87" t="s">
        <v>59</v>
      </c>
      <c r="I116" s="95" t="s">
        <v>63</v>
      </c>
      <c r="K116">
        <f>Kalk!G42</f>
        <v>0</v>
      </c>
      <c r="L116" s="104"/>
    </row>
    <row r="117" spans="1:14" ht="13.2">
      <c r="A117" s="260"/>
      <c r="B117" s="96">
        <f>ROUNDUP((D111/2)+1+(K116/2),0)</f>
        <v>1</v>
      </c>
      <c r="C117" s="97">
        <f>E111+6</f>
        <v>6</v>
      </c>
      <c r="D117" s="98">
        <f>ROUNDUP((D111/2)+1+(K116/2),0)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ROUNDUP((D111/2)+2+(K116/2),0)</f>
        <v>2</v>
      </c>
      <c r="C118" s="102">
        <f>E111+8</f>
        <v>8</v>
      </c>
      <c r="D118" s="103">
        <f>ROUNDUP((D111/2)+2+(K116/2),0)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ROUNDUP((D111/2)+3+(K116/2),0)</f>
        <v>3</v>
      </c>
      <c r="C119" s="102">
        <f>E111+10</f>
        <v>10</v>
      </c>
      <c r="D119" s="103">
        <f>ROUNDUP((D111/2)+3+(K116/2),0)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ROUNDUP((D111/2)+4+(K116/2),0)</f>
        <v>4</v>
      </c>
      <c r="C120" s="102">
        <f>E111+14</f>
        <v>14</v>
      </c>
      <c r="D120" s="103">
        <f>ROUNDUP((D111/2)+4+(K116/2),0)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52">
    <mergeCell ref="L1:L2"/>
    <mergeCell ref="M1:M2"/>
    <mergeCell ref="P1:Q1"/>
    <mergeCell ref="A2:A12"/>
    <mergeCell ref="F2:G2"/>
    <mergeCell ref="J2:K2"/>
    <mergeCell ref="F8:G8"/>
    <mergeCell ref="M13:M14"/>
    <mergeCell ref="A14:A24"/>
    <mergeCell ref="F14:G14"/>
    <mergeCell ref="J14:K14"/>
    <mergeCell ref="F20:G20"/>
    <mergeCell ref="M25:M26"/>
    <mergeCell ref="A26:A36"/>
    <mergeCell ref="F26:G26"/>
    <mergeCell ref="J26:K26"/>
    <mergeCell ref="F32:G32"/>
    <mergeCell ref="M37:M38"/>
    <mergeCell ref="A38:A48"/>
    <mergeCell ref="F38:G38"/>
    <mergeCell ref="J38:K38"/>
    <mergeCell ref="F44:G44"/>
    <mergeCell ref="M49:M50"/>
    <mergeCell ref="A50:A60"/>
    <mergeCell ref="F50:G50"/>
    <mergeCell ref="J50:K50"/>
    <mergeCell ref="F56:G56"/>
    <mergeCell ref="M61:M62"/>
    <mergeCell ref="A62:A72"/>
    <mergeCell ref="F62:G62"/>
    <mergeCell ref="J62:K62"/>
    <mergeCell ref="F68:G68"/>
    <mergeCell ref="M73:M74"/>
    <mergeCell ref="A74:A84"/>
    <mergeCell ref="F74:G74"/>
    <mergeCell ref="J74:K74"/>
    <mergeCell ref="F80:G80"/>
    <mergeCell ref="M85:M86"/>
    <mergeCell ref="A86:A96"/>
    <mergeCell ref="F86:G86"/>
    <mergeCell ref="J86:K86"/>
    <mergeCell ref="F92:G92"/>
    <mergeCell ref="M97:M98"/>
    <mergeCell ref="A98:A108"/>
    <mergeCell ref="F98:G98"/>
    <mergeCell ref="J98:K98"/>
    <mergeCell ref="F104:G104"/>
    <mergeCell ref="M109:M110"/>
    <mergeCell ref="A110:A120"/>
    <mergeCell ref="F110:G110"/>
    <mergeCell ref="J110:K110"/>
    <mergeCell ref="F116:G116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C000"/>
    <pageSetUpPr fitToPage="1"/>
  </sheetPr>
  <dimension ref="A1:N120"/>
  <sheetViews>
    <sheetView zoomScale="74" zoomScaleNormal="74" workbookViewId="0">
      <selection activeCell="P38" sqref="P38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 ca="1">IF(((($C$3+$D$3)*2+47)&lt;=2900)*AND($M$3=1),($C$3+$D$3)*2+47,IF(((($C$3+$D$3)*2+47)&gt;=2855),2*F9,($C$3+$D$3)*2+47))</f>
        <v>47</v>
      </c>
      <c r="G3" s="87">
        <f>SUM(B9:D9)</f>
        <v>8</v>
      </c>
      <c r="H3" s="90">
        <f ca="1">(F3*G3)/1000000</f>
        <v>3.7599999999999998E-4</v>
      </c>
      <c r="I3" s="91">
        <f ca="1">I10/H3</f>
        <v>1329787.2340425532</v>
      </c>
      <c r="J3" s="92">
        <f>C3+D3+20</f>
        <v>20</v>
      </c>
      <c r="K3" s="92">
        <f>(D3*2)+E3+20</f>
        <v>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51</v>
      </c>
      <c r="G4" s="87">
        <f>SUM(B10:D10)</f>
        <v>12</v>
      </c>
      <c r="H4" s="93">
        <f ca="1">F4*G4/1000000</f>
        <v>6.1200000000000002E-4</v>
      </c>
      <c r="I4" s="91">
        <f ca="1">I10/H4</f>
        <v>816993.46405228751</v>
      </c>
      <c r="J4" s="92">
        <f>C3+D3+20</f>
        <v>20</v>
      </c>
      <c r="K4" s="92">
        <f>(D3*2)+E3+20</f>
        <v>20</v>
      </c>
      <c r="L4" s="104"/>
      <c r="M4" s="105"/>
      <c r="N4">
        <f ca="1">IF(((($C$3+$D$3)*2+51)&lt;=2900)*AND($M$3=1),($C$3+$D$3)*2+51,IF(((($C$3+$D$3)*2+51)&gt;=2855),2*F10,($C$3+$D$3)*2+51))</f>
        <v>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55</v>
      </c>
      <c r="G5" s="87">
        <f>SUM(B11:D11)</f>
        <v>16</v>
      </c>
      <c r="H5" s="93">
        <f ca="1">F5*G5/1000000</f>
        <v>8.8000000000000003E-4</v>
      </c>
      <c r="I5" s="91">
        <f ca="1">I10/H5</f>
        <v>568181.81818181812</v>
      </c>
      <c r="J5" s="92">
        <f>C3+D3+40</f>
        <v>40</v>
      </c>
      <c r="K5" s="92">
        <f>(D3*2)+E3+40</f>
        <v>40</v>
      </c>
      <c r="L5" s="104"/>
      <c r="N5">
        <f ca="1">IF(((($C$3+$D$3)*2+55)&lt;=2900)*AND($M$3=1),($C$3+$D$3)*2+55,IF(((($C$3+$D$3)*2+55)&gt;=2855),2*F11,($C$3+$D$3)*2+55))</f>
        <v>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63</v>
      </c>
      <c r="G6" s="87">
        <f>SUM(B12:D12)</f>
        <v>22</v>
      </c>
      <c r="H6" s="93">
        <f ca="1">F6*G6/1000000</f>
        <v>1.3860000000000001E-3</v>
      </c>
      <c r="I6" s="91">
        <f ca="1">I10/H6</f>
        <v>360750.36075036071</v>
      </c>
      <c r="J6" s="92">
        <f>C3+D3+40</f>
        <v>40</v>
      </c>
      <c r="K6" s="92">
        <f>(D3*2)+E3+40</f>
        <v>40</v>
      </c>
      <c r="L6" s="104"/>
      <c r="M6" s="6"/>
      <c r="N6">
        <f ca="1">IF(((($C$3+$D$3)*2+59)&lt;=2900)*AND($M$3=1),($C$3+$D$3)*2+59,IF(((($C$3+$D$3)*2+59)&gt;=2855),2*F12,($C$3+$D$3)*2+59))</f>
        <v>59</v>
      </c>
    </row>
    <row r="7" spans="1:14" ht="13.2">
      <c r="A7" s="260"/>
      <c r="E7" t="s">
        <v>35</v>
      </c>
      <c r="L7" s="104"/>
    </row>
    <row r="8" spans="1:14" ht="25.8">
      <c r="A8" s="260"/>
      <c r="B8" s="94" t="s">
        <v>71</v>
      </c>
      <c r="C8" s="94"/>
      <c r="D8" s="94"/>
      <c r="F8" s="261" t="s">
        <v>58</v>
      </c>
      <c r="G8" s="261"/>
      <c r="H8" s="87" t="s">
        <v>59</v>
      </c>
      <c r="I8" s="95" t="s">
        <v>63</v>
      </c>
      <c r="L8" s="104"/>
    </row>
    <row r="9" spans="1:14" ht="13.2">
      <c r="A9" s="260"/>
      <c r="B9" s="96">
        <f>D3+1</f>
        <v>1</v>
      </c>
      <c r="C9" s="97">
        <f>E3+6</f>
        <v>6</v>
      </c>
      <c r="D9" s="98">
        <f>D3+1</f>
        <v>1</v>
      </c>
      <c r="E9" s="89" t="s">
        <v>72</v>
      </c>
      <c r="F9" s="87">
        <f>C3+D3+51</f>
        <v>51</v>
      </c>
      <c r="G9" s="87">
        <f>SUM(B9:D9)</f>
        <v>8</v>
      </c>
      <c r="H9" s="90">
        <f>((F9*G9)/1000000)*2</f>
        <v>8.1599999999999999E-4</v>
      </c>
      <c r="I9" s="100"/>
      <c r="L9" s="104"/>
    </row>
    <row r="10" spans="1:14" ht="13.2">
      <c r="A10" s="260"/>
      <c r="B10" s="101">
        <f>D3+2</f>
        <v>2</v>
      </c>
      <c r="C10" s="102">
        <f>E3+8</f>
        <v>8</v>
      </c>
      <c r="D10" s="103">
        <f>D3+2</f>
        <v>2</v>
      </c>
      <c r="E10" s="89" t="s">
        <v>72</v>
      </c>
      <c r="F10" s="87">
        <f>C3+D3+53</f>
        <v>53</v>
      </c>
      <c r="G10" s="87">
        <f>SUM(B10:D10)</f>
        <v>12</v>
      </c>
      <c r="H10" s="90">
        <f>((F10*G10)/1000000)*2</f>
        <v>1.2719999999999999E-3</v>
      </c>
      <c r="I10" s="99">
        <v>500</v>
      </c>
      <c r="L10" s="104"/>
    </row>
    <row r="11" spans="1:14" ht="13.2">
      <c r="A11" s="260"/>
      <c r="B11" s="101">
        <f>D3+3</f>
        <v>3</v>
      </c>
      <c r="C11" s="102">
        <f>E3+10</f>
        <v>10</v>
      </c>
      <c r="D11" s="103">
        <f>D3+3</f>
        <v>3</v>
      </c>
      <c r="E11" s="89" t="s">
        <v>72</v>
      </c>
      <c r="F11" s="87">
        <f>C3+D3+55</f>
        <v>55</v>
      </c>
      <c r="G11" s="87">
        <f>SUM(B11:D11)</f>
        <v>16</v>
      </c>
      <c r="H11" s="90">
        <f>((F11*G11)/1000000)*2</f>
        <v>1.7600000000000001E-3</v>
      </c>
      <c r="I11" s="6"/>
      <c r="L11" s="104"/>
    </row>
    <row r="12" spans="1:14" ht="13.2">
      <c r="A12" s="260"/>
      <c r="B12" s="101">
        <f>D3+4</f>
        <v>4</v>
      </c>
      <c r="C12" s="102">
        <f>E3+14</f>
        <v>14</v>
      </c>
      <c r="D12" s="103">
        <f>D3+4</f>
        <v>4</v>
      </c>
      <c r="E12" s="89" t="s">
        <v>72</v>
      </c>
      <c r="F12" s="87">
        <f>C3+D3+59</f>
        <v>59</v>
      </c>
      <c r="G12" s="87">
        <f>SUM(B12:D12)</f>
        <v>22</v>
      </c>
      <c r="H12" s="90">
        <f>((F12*G12)/1000000)*2</f>
        <v>2.5959999999999998E-3</v>
      </c>
      <c r="I12" s="6"/>
      <c r="L12" s="104"/>
    </row>
    <row r="13" spans="1:14" ht="12.9" customHeight="1">
      <c r="L13" s="104"/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47</v>
      </c>
      <c r="G15" s="87">
        <f>SUM(B21:D21)</f>
        <v>8</v>
      </c>
      <c r="H15" s="90">
        <f ca="1">(F15*G15)/1000000</f>
        <v>3.7599999999999998E-4</v>
      </c>
      <c r="I15" s="91">
        <f ca="1">I22/H15</f>
        <v>1329787.2340425532</v>
      </c>
      <c r="J15" s="92">
        <f>C15+D15+20</f>
        <v>20</v>
      </c>
      <c r="K15" s="92">
        <f>(D15*2)+E15+20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51</v>
      </c>
      <c r="G16" s="87">
        <f>SUM(B22:D22)</f>
        <v>12</v>
      </c>
      <c r="H16" s="93">
        <f ca="1">F16*G16/1000000</f>
        <v>6.1200000000000002E-4</v>
      </c>
      <c r="I16" s="91">
        <f ca="1">I22/H16</f>
        <v>816993.46405228751</v>
      </c>
      <c r="J16" s="92">
        <f>C15+D15+20</f>
        <v>20</v>
      </c>
      <c r="K16" s="92">
        <f>(D15*2)+E15+20</f>
        <v>20</v>
      </c>
      <c r="L16" s="104"/>
      <c r="N16">
        <f ca="1">IF(((($C$3+$D$3)*2+51)&lt;=2900)*AND($M$3=1),($C$3+$D$3)*2+51,IF(((($C$3+$D$3)*2+51)&gt;=2855),2*F22,($C$3+$D$3)*2+51))</f>
        <v>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55</v>
      </c>
      <c r="G17" s="87">
        <f>SUM(B23:D23)</f>
        <v>16</v>
      </c>
      <c r="H17" s="93">
        <f ca="1">F17*G17/1000000</f>
        <v>8.8000000000000003E-4</v>
      </c>
      <c r="I17" s="91">
        <f ca="1">I22/H17</f>
        <v>568181.81818181812</v>
      </c>
      <c r="J17" s="92">
        <f>C15+D15+40</f>
        <v>40</v>
      </c>
      <c r="K17" s="92">
        <f>(D15*2)+E15+40</f>
        <v>40</v>
      </c>
      <c r="L17" s="104"/>
      <c r="N17">
        <f ca="1">IF(((($C$3+$D$3)*2+55)&lt;=2900)*AND($M$3=1),($C$3+$D$3)*2+55,IF(((($C$3+$D$3)*2+55)&gt;=2855),2*F23,($C$3+$D$3)*2+55))</f>
        <v>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63</v>
      </c>
      <c r="G18" s="87">
        <f>SUM(B24:D24)</f>
        <v>22</v>
      </c>
      <c r="H18" s="93">
        <f ca="1">F18*G18/1000000</f>
        <v>1.3860000000000001E-3</v>
      </c>
      <c r="I18" s="91">
        <f ca="1">I22/H18</f>
        <v>360750.36075036071</v>
      </c>
      <c r="J18" s="92">
        <f>C15+D15+40</f>
        <v>40</v>
      </c>
      <c r="K18" s="92">
        <f>(D15*2)+E15+40</f>
        <v>40</v>
      </c>
      <c r="L18" s="104"/>
      <c r="N18">
        <f ca="1">IF(((($C$3+$D$3)*2+59)&lt;=2900)*AND($M$3=1),($C$3+$D$3)*2+59,IF(((($C$3+$D$3)*2+59)&gt;=2855),2*F24,($C$3+$D$3)*2+59))</f>
        <v>59</v>
      </c>
    </row>
    <row r="19" spans="1:14" ht="13.2">
      <c r="A19" s="260"/>
      <c r="E19" t="s">
        <v>35</v>
      </c>
      <c r="L19" s="104"/>
    </row>
    <row r="20" spans="1:14" ht="25.8">
      <c r="A20" s="260"/>
      <c r="B20" s="94" t="s">
        <v>71</v>
      </c>
      <c r="C20" s="94"/>
      <c r="D20" s="94"/>
      <c r="F20" s="261" t="s">
        <v>58</v>
      </c>
      <c r="G20" s="261"/>
      <c r="H20" s="87" t="s">
        <v>59</v>
      </c>
      <c r="I20" s="95" t="s">
        <v>63</v>
      </c>
      <c r="L20" s="104"/>
    </row>
    <row r="21" spans="1:14" ht="13.2">
      <c r="A21" s="260"/>
      <c r="B21" s="96">
        <f>D15+1</f>
        <v>1</v>
      </c>
      <c r="C21" s="97">
        <f>E15+6</f>
        <v>6</v>
      </c>
      <c r="D21" s="98">
        <f>D15+1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4" ht="13.2">
      <c r="A22" s="260"/>
      <c r="B22" s="101">
        <f>D15+2</f>
        <v>2</v>
      </c>
      <c r="C22" s="102">
        <f>E15+8</f>
        <v>8</v>
      </c>
      <c r="D22" s="103">
        <f>D15+2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4" ht="13.2">
      <c r="A23" s="260"/>
      <c r="B23" s="101">
        <f>D15+3</f>
        <v>3</v>
      </c>
      <c r="C23" s="102">
        <f>E15+10</f>
        <v>10</v>
      </c>
      <c r="D23" s="103">
        <f>D15+3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4" ht="13.2">
      <c r="A24" s="260"/>
      <c r="B24" s="101">
        <f>D15+4</f>
        <v>4</v>
      </c>
      <c r="C24" s="102">
        <f>E15+14</f>
        <v>14</v>
      </c>
      <c r="D24" s="103">
        <f>D15+4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4" ht="12.9" customHeight="1">
      <c r="L25" s="104"/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47</v>
      </c>
      <c r="G27" s="87">
        <f>SUM(B33:D33)</f>
        <v>8</v>
      </c>
      <c r="H27" s="90">
        <f ca="1">(F27*G27)/1000000</f>
        <v>3.7599999999999998E-4</v>
      </c>
      <c r="I27" s="91">
        <f ca="1">I34/H27</f>
        <v>1329787.2340425532</v>
      </c>
      <c r="J27" s="92">
        <f>C27+D27+20</f>
        <v>20</v>
      </c>
      <c r="K27" s="92">
        <f>(D27*2)+E27+20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51</v>
      </c>
      <c r="G28" s="87">
        <f>SUM(B34:D34)</f>
        <v>12</v>
      </c>
      <c r="H28" s="93">
        <f ca="1">F28*G28/1000000</f>
        <v>6.1200000000000002E-4</v>
      </c>
      <c r="I28" s="91">
        <f ca="1">I34/H28</f>
        <v>816993.46405228751</v>
      </c>
      <c r="J28" s="92">
        <f>C27+D27+20</f>
        <v>20</v>
      </c>
      <c r="K28" s="92">
        <f>(D27*2)+E27+20</f>
        <v>20</v>
      </c>
      <c r="L28" s="104"/>
      <c r="N28">
        <f ca="1">IF(((($C$3+$D$3)*2+51)&lt;=2900)*AND($M$3=1),($C$3+$D$3)*2+51,IF(((($C$3+$D$3)*2+51)&gt;=2855),2*F34,($C$3+$D$3)*2+51))</f>
        <v>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55</v>
      </c>
      <c r="G29" s="87">
        <f>SUM(B35:D35)</f>
        <v>16</v>
      </c>
      <c r="H29" s="93">
        <f ca="1">F29*G29/1000000</f>
        <v>8.8000000000000003E-4</v>
      </c>
      <c r="I29" s="91">
        <f ca="1">I34/H29</f>
        <v>568181.81818181812</v>
      </c>
      <c r="J29" s="92">
        <f>C27+D27+40</f>
        <v>40</v>
      </c>
      <c r="K29" s="92">
        <f>(D27*2)+E27+40</f>
        <v>40</v>
      </c>
      <c r="L29" s="104"/>
      <c r="N29">
        <f ca="1">IF(((($C$3+$D$3)*2+55)&lt;=2900)*AND($M$3=1),($C$3+$D$3)*2+55,IF(((($C$3+$D$3)*2+55)&gt;=2855),2*F35,($C$3+$D$3)*2+55))</f>
        <v>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63</v>
      </c>
      <c r="G30" s="87">
        <f>SUM(B36:D36)</f>
        <v>22</v>
      </c>
      <c r="H30" s="93">
        <f ca="1">F30*G30/1000000</f>
        <v>1.3860000000000001E-3</v>
      </c>
      <c r="I30" s="91">
        <f ca="1">I34/H30</f>
        <v>360750.36075036071</v>
      </c>
      <c r="J30" s="92">
        <f>C27+D27+40</f>
        <v>40</v>
      </c>
      <c r="K30" s="92">
        <f>(D27*2)+E27+40</f>
        <v>40</v>
      </c>
      <c r="L30" s="104"/>
      <c r="N30">
        <f ca="1">IF(((($C$3+$D$3)*2+59)&lt;=2900)*AND($M$3=1),($C$3+$D$3)*2+59,IF(((($C$3+$D$3)*2+59)&gt;=2855),2*F36,($C$3+$D$3)*2+59))</f>
        <v>59</v>
      </c>
    </row>
    <row r="31" spans="1:14" ht="13.2">
      <c r="A31" s="260"/>
      <c r="E31" t="s">
        <v>35</v>
      </c>
      <c r="L31" s="104"/>
    </row>
    <row r="32" spans="1:14" ht="25.8">
      <c r="A32" s="260"/>
      <c r="B32" s="94" t="s">
        <v>71</v>
      </c>
      <c r="C32" s="94"/>
      <c r="D32" s="94"/>
      <c r="F32" s="261" t="s">
        <v>58</v>
      </c>
      <c r="G32" s="261"/>
      <c r="H32" s="87" t="s">
        <v>59</v>
      </c>
      <c r="I32" s="95" t="s">
        <v>63</v>
      </c>
      <c r="L32" s="104"/>
    </row>
    <row r="33" spans="1:14" ht="13.2">
      <c r="A33" s="260"/>
      <c r="B33" s="96">
        <f>D27+1</f>
        <v>1</v>
      </c>
      <c r="C33" s="97">
        <f>E27+6</f>
        <v>6</v>
      </c>
      <c r="D33" s="98">
        <f>D27+1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4" ht="13.2">
      <c r="A34" s="260"/>
      <c r="B34" s="101">
        <f>D27+2</f>
        <v>2</v>
      </c>
      <c r="C34" s="102">
        <f>E27+8</f>
        <v>8</v>
      </c>
      <c r="D34" s="103">
        <f>D27+2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4" ht="13.2">
      <c r="A35" s="260"/>
      <c r="B35" s="101">
        <f>D27+3</f>
        <v>3</v>
      </c>
      <c r="C35" s="102">
        <f>E27+10</f>
        <v>10</v>
      </c>
      <c r="D35" s="103">
        <f>D27+3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4" ht="13.2">
      <c r="A36" s="260"/>
      <c r="B36" s="101">
        <f>D27+4</f>
        <v>4</v>
      </c>
      <c r="C36" s="102">
        <f>E27+14</f>
        <v>14</v>
      </c>
      <c r="D36" s="103">
        <f>D27+4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4" ht="12.9" customHeight="1">
      <c r="L37" s="104"/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47</v>
      </c>
      <c r="G39" s="87">
        <f>SUM(B45:D45)</f>
        <v>8</v>
      </c>
      <c r="H39" s="90">
        <f ca="1">(F39*G39)/1000000</f>
        <v>3.7599999999999998E-4</v>
      </c>
      <c r="I39" s="91">
        <f ca="1">I46/H39</f>
        <v>1329787.2340425532</v>
      </c>
      <c r="J39" s="92">
        <f>C39+D39+20</f>
        <v>20</v>
      </c>
      <c r="K39" s="92">
        <f>(D39*2)+E39+20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51</v>
      </c>
      <c r="G40" s="87">
        <f>SUM(B46:D46)</f>
        <v>12</v>
      </c>
      <c r="H40" s="93">
        <f ca="1">F40*G40/1000000</f>
        <v>6.1200000000000002E-4</v>
      </c>
      <c r="I40" s="91">
        <f ca="1">I46/H40</f>
        <v>816993.46405228751</v>
      </c>
      <c r="J40" s="92">
        <f>C39+D39+20</f>
        <v>20</v>
      </c>
      <c r="K40" s="92">
        <f>(D39*2)+E39+20</f>
        <v>20</v>
      </c>
      <c r="L40" s="104"/>
      <c r="N40">
        <f ca="1">IF(((($C$3+$D$3)*2+51)&lt;=2900)*AND($M$3=1),($C$3+$D$3)*2+51,IF(((($C$3+$D$3)*2+51)&gt;=2855),2*F46,($C$3+$D$3)*2+51))</f>
        <v>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55</v>
      </c>
      <c r="G41" s="87">
        <f>SUM(B47:D47)</f>
        <v>16</v>
      </c>
      <c r="H41" s="93">
        <f ca="1">F41*G41/1000000</f>
        <v>8.8000000000000003E-4</v>
      </c>
      <c r="I41" s="91">
        <f ca="1">I46/H41</f>
        <v>568181.81818181812</v>
      </c>
      <c r="J41" s="92">
        <f>C39+D39+40</f>
        <v>40</v>
      </c>
      <c r="K41" s="92">
        <f>(D39*2)+E39+40</f>
        <v>40</v>
      </c>
      <c r="L41" s="104"/>
      <c r="N41">
        <f ca="1">IF(((($C$3+$D$3)*2+55)&lt;=2900)*AND($M$3=1),($C$3+$D$3)*2+55,IF(((($C$3+$D$3)*2+55)&gt;=2855),2*F47,($C$3+$D$3)*2+55))</f>
        <v>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63</v>
      </c>
      <c r="G42" s="87">
        <f>SUM(B48:D48)</f>
        <v>22</v>
      </c>
      <c r="H42" s="93">
        <f ca="1">F42*G42/1000000</f>
        <v>1.3860000000000001E-3</v>
      </c>
      <c r="I42" s="91">
        <f ca="1">I46/H42</f>
        <v>360750.36075036071</v>
      </c>
      <c r="J42" s="92">
        <f>C39+D39+40</f>
        <v>40</v>
      </c>
      <c r="K42" s="92">
        <f>(D39*2)+E39+40</f>
        <v>40</v>
      </c>
      <c r="L42" s="104"/>
      <c r="N42">
        <f ca="1">IF(((($C$3+$D$3)*2+59)&lt;=2900)*AND($M$3=1),($C$3+$D$3)*2+59,IF(((($C$3+$D$3)*2+59)&gt;=2855),2*F48,($C$3+$D$3)*2+59))</f>
        <v>59</v>
      </c>
    </row>
    <row r="43" spans="1:14" ht="13.2">
      <c r="A43" s="260"/>
      <c r="E43" t="s">
        <v>35</v>
      </c>
      <c r="L43" s="104"/>
    </row>
    <row r="44" spans="1:14" ht="25.8">
      <c r="A44" s="260"/>
      <c r="B44" s="94" t="s">
        <v>71</v>
      </c>
      <c r="C44" s="94"/>
      <c r="D44" s="94"/>
      <c r="F44" s="261" t="s">
        <v>58</v>
      </c>
      <c r="G44" s="261"/>
      <c r="H44" s="87" t="s">
        <v>59</v>
      </c>
      <c r="I44" s="95" t="s">
        <v>63</v>
      </c>
      <c r="L44" s="104"/>
    </row>
    <row r="45" spans="1:14" ht="13.2">
      <c r="A45" s="260"/>
      <c r="B45" s="96">
        <f>D39+1</f>
        <v>1</v>
      </c>
      <c r="C45" s="97">
        <f>E39+6</f>
        <v>6</v>
      </c>
      <c r="D45" s="98">
        <f>D39+1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4" ht="13.2">
      <c r="A46" s="260"/>
      <c r="B46" s="101">
        <f>D39+2</f>
        <v>2</v>
      </c>
      <c r="C46" s="102">
        <f>E39+8</f>
        <v>8</v>
      </c>
      <c r="D46" s="103">
        <f>D39+2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4" ht="13.2">
      <c r="A47" s="260"/>
      <c r="B47" s="101">
        <f>D39+3</f>
        <v>3</v>
      </c>
      <c r="C47" s="102">
        <f>E39+10</f>
        <v>10</v>
      </c>
      <c r="D47" s="103">
        <f>D39+3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4" ht="13.2">
      <c r="A48" s="260"/>
      <c r="B48" s="101">
        <f>D39+4</f>
        <v>4</v>
      </c>
      <c r="C48" s="102">
        <f>E39+14</f>
        <v>14</v>
      </c>
      <c r="D48" s="103">
        <f>D39+4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4" ht="12.9" customHeight="1">
      <c r="L49" s="104"/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47</v>
      </c>
      <c r="G51" s="87">
        <f>SUM(B57:D57)</f>
        <v>8</v>
      </c>
      <c r="H51" s="90">
        <f ca="1">(F51*G51)/1000000</f>
        <v>3.7599999999999998E-4</v>
      </c>
      <c r="I51" s="91">
        <f ca="1">I58/H51</f>
        <v>1329787.2340425532</v>
      </c>
      <c r="J51" s="92">
        <f>C51+D51+20</f>
        <v>20</v>
      </c>
      <c r="K51" s="92">
        <f>(D51*2)+E51+20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51</v>
      </c>
      <c r="G52" s="87">
        <f>SUM(B58:D58)</f>
        <v>12</v>
      </c>
      <c r="H52" s="93">
        <f ca="1">F52*G52/1000000</f>
        <v>6.1200000000000002E-4</v>
      </c>
      <c r="I52" s="91">
        <f ca="1">I58/H52</f>
        <v>816993.46405228751</v>
      </c>
      <c r="J52" s="92">
        <f>C51+D51+20</f>
        <v>20</v>
      </c>
      <c r="K52" s="92">
        <f>(D51*2)+E51+20</f>
        <v>20</v>
      </c>
      <c r="L52" s="104"/>
      <c r="N52">
        <f ca="1">IF(((($C$3+$D$3)*2+51)&lt;=2900)*AND($M$3=1),($C$3+$D$3)*2+51,IF(((($C$3+$D$3)*2+51)&gt;=2855),2*F58,($C$3+$D$3)*2+51))</f>
        <v>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55</v>
      </c>
      <c r="G53" s="87">
        <f>SUM(B59:D59)</f>
        <v>16</v>
      </c>
      <c r="H53" s="93">
        <f ca="1">F53*G53/1000000</f>
        <v>8.8000000000000003E-4</v>
      </c>
      <c r="I53" s="91">
        <f ca="1">I58/H53</f>
        <v>568181.81818181812</v>
      </c>
      <c r="J53" s="92">
        <f>C51+D51+40</f>
        <v>40</v>
      </c>
      <c r="K53" s="92">
        <f>(D51*2)+E51+40</f>
        <v>40</v>
      </c>
      <c r="L53" s="104"/>
      <c r="N53">
        <f ca="1">IF(((($C$3+$D$3)*2+55)&lt;=2900)*AND($M$3=1),($C$3+$D$3)*2+55,IF(((($C$3+$D$3)*2+55)&gt;=2855),2*F59,($C$3+$D$3)*2+55))</f>
        <v>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63</v>
      </c>
      <c r="G54" s="87">
        <f>SUM(B60:D60)</f>
        <v>22</v>
      </c>
      <c r="H54" s="93">
        <f ca="1">F54*G54/1000000</f>
        <v>1.3860000000000001E-3</v>
      </c>
      <c r="I54" s="91">
        <f ca="1">I58/H54</f>
        <v>360750.36075036071</v>
      </c>
      <c r="J54" s="92">
        <f>C51+D51+40</f>
        <v>40</v>
      </c>
      <c r="K54" s="92">
        <f>(D51*2)+E51+40</f>
        <v>40</v>
      </c>
      <c r="L54" s="104"/>
      <c r="N54">
        <f ca="1">IF(((($C$3+$D$3)*2+59)&lt;=2900)*AND($M$3=1),($C$3+$D$3)*2+59,IF(((($C$3+$D$3)*2+59)&gt;=2855),2*F60,($C$3+$D$3)*2+59))</f>
        <v>59</v>
      </c>
    </row>
    <row r="55" spans="1:14" ht="13.2">
      <c r="A55" s="260"/>
      <c r="E55" t="s">
        <v>35</v>
      </c>
      <c r="L55" s="104"/>
    </row>
    <row r="56" spans="1:14" ht="25.8">
      <c r="A56" s="260"/>
      <c r="B56" s="94" t="s">
        <v>71</v>
      </c>
      <c r="C56" s="94"/>
      <c r="D56" s="94"/>
      <c r="F56" s="261" t="s">
        <v>58</v>
      </c>
      <c r="G56" s="261"/>
      <c r="H56" s="87" t="s">
        <v>59</v>
      </c>
      <c r="I56" s="95" t="s">
        <v>63</v>
      </c>
      <c r="L56" s="104"/>
    </row>
    <row r="57" spans="1:14" ht="13.2">
      <c r="A57" s="260"/>
      <c r="B57" s="96">
        <f>D51+1</f>
        <v>1</v>
      </c>
      <c r="C57" s="97">
        <f>E51+6</f>
        <v>6</v>
      </c>
      <c r="D57" s="98">
        <f>D51+1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4" ht="13.2">
      <c r="A58" s="260"/>
      <c r="B58" s="101">
        <f>D51+2</f>
        <v>2</v>
      </c>
      <c r="C58" s="102">
        <f>E51+8</f>
        <v>8</v>
      </c>
      <c r="D58" s="103">
        <f>D51+2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4" ht="13.2">
      <c r="A59" s="260"/>
      <c r="B59" s="101">
        <f>D51+3</f>
        <v>3</v>
      </c>
      <c r="C59" s="102">
        <f>E51+10</f>
        <v>10</v>
      </c>
      <c r="D59" s="103">
        <f>D51+3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4" ht="13.2">
      <c r="A60" s="260"/>
      <c r="B60" s="101">
        <f>D51+4</f>
        <v>4</v>
      </c>
      <c r="C60" s="102">
        <f>E51+14</f>
        <v>14</v>
      </c>
      <c r="D60" s="103">
        <f>D51+4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4" ht="12.9" customHeight="1">
      <c r="L61" s="104"/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47</v>
      </c>
      <c r="G63" s="87">
        <f>SUM(B69:D69)</f>
        <v>8</v>
      </c>
      <c r="H63" s="90">
        <f ca="1">(F63*G63)/1000000</f>
        <v>3.7599999999999998E-4</v>
      </c>
      <c r="I63" s="91">
        <f ca="1">I70/H63</f>
        <v>1329787.2340425532</v>
      </c>
      <c r="J63" s="92">
        <f>C63+D63+20</f>
        <v>20</v>
      </c>
      <c r="K63" s="92">
        <f>(D63*2)+E63+20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51</v>
      </c>
      <c r="G64" s="87">
        <f>SUM(B70:D70)</f>
        <v>12</v>
      </c>
      <c r="H64" s="93">
        <f ca="1">F64*G64/1000000</f>
        <v>6.1200000000000002E-4</v>
      </c>
      <c r="I64" s="91">
        <f ca="1">I70/H64</f>
        <v>816993.46405228751</v>
      </c>
      <c r="J64" s="92">
        <f>C63+D63+20</f>
        <v>20</v>
      </c>
      <c r="K64" s="92">
        <f>(D63*2)+E63+20</f>
        <v>20</v>
      </c>
      <c r="L64" s="104"/>
      <c r="N64">
        <f ca="1">IF(((($C$3+$D$3)*2+51)&lt;=2900)*AND($M$3=1),($C$3+$D$3)*2+51,IF(((($C$3+$D$3)*2+51)&gt;=2855),2*F70,($C$3+$D$3)*2+51))</f>
        <v>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55</v>
      </c>
      <c r="G65" s="87">
        <f>SUM(B71:D71)</f>
        <v>16</v>
      </c>
      <c r="H65" s="93">
        <f ca="1">F65*G65/1000000</f>
        <v>8.8000000000000003E-4</v>
      </c>
      <c r="I65" s="91">
        <f ca="1">I70/H65</f>
        <v>568181.81818181812</v>
      </c>
      <c r="J65" s="92">
        <f>C63+D63+40</f>
        <v>40</v>
      </c>
      <c r="K65" s="92">
        <f>(D63*2)+E63+40</f>
        <v>40</v>
      </c>
      <c r="L65" s="104"/>
      <c r="N65">
        <f ca="1">IF(((($C$3+$D$3)*2+55)&lt;=2900)*AND($M$3=1),($C$3+$D$3)*2+55,IF(((($C$3+$D$3)*2+55)&gt;=2855),2*F71,($C$3+$D$3)*2+55))</f>
        <v>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63</v>
      </c>
      <c r="G66" s="87">
        <f>SUM(B72:D72)</f>
        <v>22</v>
      </c>
      <c r="H66" s="93">
        <f ca="1">F66*G66/1000000</f>
        <v>1.3860000000000001E-3</v>
      </c>
      <c r="I66" s="91">
        <f ca="1">I70/H66</f>
        <v>360750.36075036071</v>
      </c>
      <c r="J66" s="92">
        <f>C63+D63+40</f>
        <v>40</v>
      </c>
      <c r="K66" s="92">
        <f>(D63*2)+E63+40</f>
        <v>40</v>
      </c>
      <c r="L66" s="104"/>
      <c r="N66">
        <f ca="1">IF(((($C$3+$D$3)*2+59)&lt;=2900)*AND($M$3=1),($C$3+$D$3)*2+59,IF(((($C$3+$D$3)*2+59)&gt;=2855),2*F72,($C$3+$D$3)*2+59))</f>
        <v>59</v>
      </c>
    </row>
    <row r="67" spans="1:14" ht="13.2">
      <c r="A67" s="260"/>
      <c r="E67" t="s">
        <v>35</v>
      </c>
      <c r="L67" s="104"/>
    </row>
    <row r="68" spans="1:14" ht="25.8">
      <c r="A68" s="260"/>
      <c r="B68" s="94" t="s">
        <v>71</v>
      </c>
      <c r="C68" s="94"/>
      <c r="D68" s="94"/>
      <c r="F68" s="261" t="s">
        <v>58</v>
      </c>
      <c r="G68" s="261"/>
      <c r="H68" s="87" t="s">
        <v>59</v>
      </c>
      <c r="I68" s="95" t="s">
        <v>63</v>
      </c>
      <c r="L68" s="104"/>
    </row>
    <row r="69" spans="1:14" ht="13.2">
      <c r="A69" s="260"/>
      <c r="B69" s="96">
        <f>D63+1</f>
        <v>1</v>
      </c>
      <c r="C69" s="97">
        <f>E63+6</f>
        <v>6</v>
      </c>
      <c r="D69" s="98">
        <f>D63+1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4" ht="13.2">
      <c r="A70" s="260"/>
      <c r="B70" s="101">
        <f>D63+2</f>
        <v>2</v>
      </c>
      <c r="C70" s="102">
        <f>E63+8</f>
        <v>8</v>
      </c>
      <c r="D70" s="103">
        <f>D63+2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4" ht="13.2">
      <c r="A71" s="260"/>
      <c r="B71" s="101">
        <f>D63+3</f>
        <v>3</v>
      </c>
      <c r="C71" s="102">
        <f>E63+10</f>
        <v>10</v>
      </c>
      <c r="D71" s="103">
        <f>D63+3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4" ht="13.2">
      <c r="A72" s="260"/>
      <c r="B72" s="101">
        <f>D63+4</f>
        <v>4</v>
      </c>
      <c r="C72" s="102">
        <f>E63+14</f>
        <v>14</v>
      </c>
      <c r="D72" s="103">
        <f>D63+4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4" ht="12.9" customHeight="1">
      <c r="L73" s="104"/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47</v>
      </c>
      <c r="G75" s="87">
        <f>SUM(B81:D81)</f>
        <v>8</v>
      </c>
      <c r="H75" s="90">
        <f ca="1">(F75*G75)/1000000</f>
        <v>3.7599999999999998E-4</v>
      </c>
      <c r="I75" s="91">
        <f ca="1">I82/H75</f>
        <v>1329787.2340425532</v>
      </c>
      <c r="J75" s="92">
        <f>C75+D75+20</f>
        <v>20</v>
      </c>
      <c r="K75" s="92">
        <f>(D75*2)+E75+20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51</v>
      </c>
      <c r="G76" s="87">
        <f>SUM(B82:D82)</f>
        <v>12</v>
      </c>
      <c r="H76" s="93">
        <f ca="1">F76*G76/1000000</f>
        <v>6.1200000000000002E-4</v>
      </c>
      <c r="I76" s="91">
        <f ca="1">I82/H76</f>
        <v>816993.46405228751</v>
      </c>
      <c r="J76" s="92">
        <f>C75+D75+20</f>
        <v>20</v>
      </c>
      <c r="K76" s="92">
        <f>(D75*2)+E75+20</f>
        <v>20</v>
      </c>
      <c r="L76" s="104"/>
      <c r="N76">
        <f ca="1">IF(((($C$3+$D$3)*2+51)&lt;=2900)*AND($M$3=1),($C$3+$D$3)*2+51,IF(((($C$3+$D$3)*2+51)&gt;=2855),2*F82,($C$3+$D$3)*2+51))</f>
        <v>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55</v>
      </c>
      <c r="G77" s="87">
        <f>SUM(B83:D83)</f>
        <v>16</v>
      </c>
      <c r="H77" s="93">
        <f ca="1">F77*G77/1000000</f>
        <v>8.8000000000000003E-4</v>
      </c>
      <c r="I77" s="91">
        <f ca="1">I82/H77</f>
        <v>568181.81818181812</v>
      </c>
      <c r="J77" s="92">
        <f>C75+D75+40</f>
        <v>40</v>
      </c>
      <c r="K77" s="92">
        <f>(D75*2)+E75+40</f>
        <v>40</v>
      </c>
      <c r="L77" s="104"/>
      <c r="N77">
        <f ca="1">IF(((($C$3+$D$3)*2+55)&lt;=2900)*AND($M$3=1),($C$3+$D$3)*2+55,IF(((($C$3+$D$3)*2+55)&gt;=2855),2*F83,($C$3+$D$3)*2+55))</f>
        <v>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63</v>
      </c>
      <c r="G78" s="87">
        <f>SUM(B84:D84)</f>
        <v>22</v>
      </c>
      <c r="H78" s="93">
        <f ca="1">F78*G78/1000000</f>
        <v>1.3860000000000001E-3</v>
      </c>
      <c r="I78" s="91">
        <f ca="1">I82/H78</f>
        <v>360750.36075036071</v>
      </c>
      <c r="J78" s="92">
        <f>C75+D75+40</f>
        <v>40</v>
      </c>
      <c r="K78" s="92">
        <f>(D75*2)+E75+40</f>
        <v>40</v>
      </c>
      <c r="L78" s="104"/>
      <c r="N78">
        <f ca="1">IF(((($C$3+$D$3)*2+59)&lt;=2900)*AND($M$3=1),($C$3+$D$3)*2+59,IF(((($C$3+$D$3)*2+59)&gt;=2855),2*F84,($C$3+$D$3)*2+59))</f>
        <v>59</v>
      </c>
    </row>
    <row r="79" spans="1:14" ht="13.2">
      <c r="A79" s="260"/>
      <c r="E79" t="s">
        <v>35</v>
      </c>
      <c r="L79" s="104"/>
    </row>
    <row r="80" spans="1:14" ht="25.8">
      <c r="A80" s="260"/>
      <c r="B80" s="94" t="s">
        <v>71</v>
      </c>
      <c r="C80" s="94"/>
      <c r="D80" s="94"/>
      <c r="F80" s="261" t="s">
        <v>58</v>
      </c>
      <c r="G80" s="261"/>
      <c r="H80" s="87" t="s">
        <v>59</v>
      </c>
      <c r="I80" s="95" t="s">
        <v>63</v>
      </c>
      <c r="L80" s="104"/>
    </row>
    <row r="81" spans="1:14" ht="13.2">
      <c r="A81" s="260"/>
      <c r="B81" s="96">
        <f>D75+1</f>
        <v>1</v>
      </c>
      <c r="C81" s="97">
        <f>E75+6</f>
        <v>6</v>
      </c>
      <c r="D81" s="98">
        <f>D75+1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4" ht="13.2">
      <c r="A82" s="260"/>
      <c r="B82" s="101">
        <f>D75+2</f>
        <v>2</v>
      </c>
      <c r="C82" s="102">
        <f>E75+8</f>
        <v>8</v>
      </c>
      <c r="D82" s="103">
        <f>D75+2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4" ht="13.2">
      <c r="A83" s="260"/>
      <c r="B83" s="101">
        <f>D75+3</f>
        <v>3</v>
      </c>
      <c r="C83" s="102">
        <f>E75+10</f>
        <v>10</v>
      </c>
      <c r="D83" s="103">
        <f>D75+3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4" ht="13.2">
      <c r="A84" s="260"/>
      <c r="B84" s="101">
        <f>D75+4</f>
        <v>4</v>
      </c>
      <c r="C84" s="102">
        <f>E75+14</f>
        <v>14</v>
      </c>
      <c r="D84" s="103">
        <f>D75+4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4" ht="12.9" customHeight="1">
      <c r="L85" s="104"/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47</v>
      </c>
      <c r="G87" s="87">
        <f>SUM(B93:D93)</f>
        <v>8</v>
      </c>
      <c r="H87" s="90">
        <f ca="1">(F87*G87)/1000000</f>
        <v>3.7599999999999998E-4</v>
      </c>
      <c r="I87" s="91">
        <f ca="1">I94/H87</f>
        <v>1329787.2340425532</v>
      </c>
      <c r="J87" s="92">
        <f>C87+D87+20</f>
        <v>20</v>
      </c>
      <c r="K87" s="92">
        <f>(D87*2)+E87+20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51</v>
      </c>
      <c r="G88" s="87">
        <f>SUM(B94:D94)</f>
        <v>12</v>
      </c>
      <c r="H88" s="93">
        <f ca="1">F88*G88/1000000</f>
        <v>6.1200000000000002E-4</v>
      </c>
      <c r="I88" s="91">
        <f ca="1">I94/H88</f>
        <v>816993.46405228751</v>
      </c>
      <c r="J88" s="92">
        <f>C87+D87+20</f>
        <v>20</v>
      </c>
      <c r="K88" s="92">
        <f>(D87*2)+E87+20</f>
        <v>20</v>
      </c>
      <c r="L88" s="104"/>
      <c r="N88">
        <f ca="1">IF(((($C$3+$D$3)*2+51)&lt;=2900)*AND($M$3=1),($C$3+$D$3)*2+51,IF(((($C$3+$D$3)*2+51)&gt;=2855),2*F94,($C$3+$D$3)*2+51))</f>
        <v>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55</v>
      </c>
      <c r="G89" s="87">
        <f>SUM(B95:D95)</f>
        <v>16</v>
      </c>
      <c r="H89" s="93">
        <f ca="1">F89*G89/1000000</f>
        <v>8.8000000000000003E-4</v>
      </c>
      <c r="I89" s="91">
        <f ca="1">I94/H89</f>
        <v>568181.81818181812</v>
      </c>
      <c r="J89" s="92">
        <f>C87+D87+40</f>
        <v>40</v>
      </c>
      <c r="K89" s="92">
        <f>(D87*2)+E87+40</f>
        <v>40</v>
      </c>
      <c r="L89" s="104"/>
      <c r="N89">
        <f ca="1">IF(((($C$3+$D$3)*2+55)&lt;=2900)*AND($M$3=1),($C$3+$D$3)*2+55,IF(((($C$3+$D$3)*2+55)&gt;=2855),2*F95,($C$3+$D$3)*2+55))</f>
        <v>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63</v>
      </c>
      <c r="G90" s="87">
        <f>SUM(B96:D96)</f>
        <v>22</v>
      </c>
      <c r="H90" s="93">
        <f ca="1">F90*G90/1000000</f>
        <v>1.3860000000000001E-3</v>
      </c>
      <c r="I90" s="91">
        <f ca="1">I94/H90</f>
        <v>360750.36075036071</v>
      </c>
      <c r="J90" s="92">
        <f>C87+D87+40</f>
        <v>40</v>
      </c>
      <c r="K90" s="92">
        <f>(D87*2)+E87+40</f>
        <v>40</v>
      </c>
      <c r="L90" s="104"/>
      <c r="N90">
        <f ca="1">IF(((($C$3+$D$3)*2+59)&lt;=2900)*AND($M$3=1),($C$3+$D$3)*2+59,IF(((($C$3+$D$3)*2+59)&gt;=2855),2*F96,($C$3+$D$3)*2+59))</f>
        <v>59</v>
      </c>
    </row>
    <row r="91" spans="1:14" ht="13.2">
      <c r="A91" s="260"/>
      <c r="E91" t="s">
        <v>35</v>
      </c>
      <c r="L91" s="104"/>
    </row>
    <row r="92" spans="1:14" ht="25.8">
      <c r="A92" s="260"/>
      <c r="B92" s="94" t="s">
        <v>71</v>
      </c>
      <c r="C92" s="94"/>
      <c r="D92" s="94"/>
      <c r="F92" s="261" t="s">
        <v>58</v>
      </c>
      <c r="G92" s="261"/>
      <c r="H92" s="87" t="s">
        <v>59</v>
      </c>
      <c r="I92" s="95" t="s">
        <v>63</v>
      </c>
      <c r="L92" s="104"/>
    </row>
    <row r="93" spans="1:14" ht="13.2">
      <c r="A93" s="260"/>
      <c r="B93" s="96">
        <f>D87+1</f>
        <v>1</v>
      </c>
      <c r="C93" s="97">
        <f>E87+6</f>
        <v>6</v>
      </c>
      <c r="D93" s="98">
        <f>D87+1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4" ht="13.2">
      <c r="A94" s="260"/>
      <c r="B94" s="101">
        <f>D87+2</f>
        <v>2</v>
      </c>
      <c r="C94" s="102">
        <f>E87+8</f>
        <v>8</v>
      </c>
      <c r="D94" s="103">
        <f>D87+2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4" ht="13.2">
      <c r="A95" s="260"/>
      <c r="B95" s="101">
        <f>D87+3</f>
        <v>3</v>
      </c>
      <c r="C95" s="102">
        <f>E87+10</f>
        <v>10</v>
      </c>
      <c r="D95" s="103">
        <f>D87+3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4" ht="13.2">
      <c r="A96" s="260"/>
      <c r="B96" s="101">
        <f>D87+4</f>
        <v>4</v>
      </c>
      <c r="C96" s="102">
        <f>E87+14</f>
        <v>14</v>
      </c>
      <c r="D96" s="103">
        <f>D87+4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4" ht="12.9" customHeight="1">
      <c r="L97" s="104"/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47</v>
      </c>
      <c r="G99" s="87">
        <f>SUM(B105:D105)</f>
        <v>8</v>
      </c>
      <c r="H99" s="90">
        <f ca="1">(F99*G99)/1000000</f>
        <v>3.7599999999999998E-4</v>
      </c>
      <c r="I99" s="91">
        <f ca="1">I106/H99</f>
        <v>1329787.2340425532</v>
      </c>
      <c r="J99" s="92">
        <f>C99+D99+20</f>
        <v>20</v>
      </c>
      <c r="K99" s="92">
        <f>(D99*2)+E99+20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51</v>
      </c>
      <c r="G100" s="87">
        <f>SUM(B106:D106)</f>
        <v>12</v>
      </c>
      <c r="H100" s="93">
        <f ca="1">F100*G100/1000000</f>
        <v>6.1200000000000002E-4</v>
      </c>
      <c r="I100" s="91">
        <f ca="1">I106/H100</f>
        <v>816993.46405228751</v>
      </c>
      <c r="J100" s="92">
        <f>C99+D99+20</f>
        <v>20</v>
      </c>
      <c r="K100" s="92">
        <f>(D99*2)+E99+20</f>
        <v>20</v>
      </c>
      <c r="L100" s="104"/>
      <c r="N100">
        <f ca="1">IF(((($C$3+$D$3)*2+51)&lt;=2900)*AND($M$3=1),($C$3+$D$3)*2+51,IF(((($C$3+$D$3)*2+51)&gt;=2855),2*F106,($C$3+$D$3)*2+51))</f>
        <v>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55</v>
      </c>
      <c r="G101" s="87">
        <f>SUM(B107:D107)</f>
        <v>16</v>
      </c>
      <c r="H101" s="93">
        <f ca="1">F101*G101/1000000</f>
        <v>8.8000000000000003E-4</v>
      </c>
      <c r="I101" s="91">
        <f ca="1">I106/H101</f>
        <v>568181.81818181812</v>
      </c>
      <c r="J101" s="92">
        <f>C99+D99+40</f>
        <v>40</v>
      </c>
      <c r="K101" s="92">
        <f>(D99*2)+E99+40</f>
        <v>40</v>
      </c>
      <c r="L101" s="104"/>
      <c r="N101">
        <f ca="1">IF(((($C$3+$D$3)*2+55)&lt;=2900)*AND($M$3=1),($C$3+$D$3)*2+55,IF(((($C$3+$D$3)*2+55)&gt;=2855),2*F107,($C$3+$D$3)*2+55))</f>
        <v>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63</v>
      </c>
      <c r="G102" s="87">
        <f>SUM(B108:D108)</f>
        <v>22</v>
      </c>
      <c r="H102" s="93">
        <f ca="1">F102*G102/1000000</f>
        <v>1.3860000000000001E-3</v>
      </c>
      <c r="I102" s="91">
        <f ca="1">I106/H102</f>
        <v>360750.36075036071</v>
      </c>
      <c r="J102" s="92">
        <f>C99+D99+40</f>
        <v>40</v>
      </c>
      <c r="K102" s="92">
        <f>(D99*2)+E99+40</f>
        <v>40</v>
      </c>
      <c r="L102" s="104"/>
      <c r="N102">
        <f ca="1">IF(((($C$3+$D$3)*2+59)&lt;=2900)*AND($M$3=1),($C$3+$D$3)*2+59,IF(((($C$3+$D$3)*2+59)&gt;=2855),2*F108,($C$3+$D$3)*2+59))</f>
        <v>59</v>
      </c>
    </row>
    <row r="103" spans="1:14" ht="13.2">
      <c r="A103" s="260"/>
      <c r="E103" t="s">
        <v>35</v>
      </c>
      <c r="L103" s="104"/>
    </row>
    <row r="104" spans="1:14" ht="25.8">
      <c r="A104" s="260"/>
      <c r="B104" s="94" t="s">
        <v>71</v>
      </c>
      <c r="C104" s="94"/>
      <c r="D104" s="94"/>
      <c r="F104" s="261" t="s">
        <v>58</v>
      </c>
      <c r="G104" s="261"/>
      <c r="H104" s="87" t="s">
        <v>59</v>
      </c>
      <c r="I104" s="95" t="s">
        <v>63</v>
      </c>
      <c r="L104" s="104"/>
    </row>
    <row r="105" spans="1:14" ht="13.2">
      <c r="A105" s="260"/>
      <c r="B105" s="96">
        <f>D99+1</f>
        <v>1</v>
      </c>
      <c r="C105" s="97">
        <f>E99+6</f>
        <v>6</v>
      </c>
      <c r="D105" s="98">
        <f>D99+1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4" ht="13.2">
      <c r="A106" s="260"/>
      <c r="B106" s="101">
        <f>D99+2</f>
        <v>2</v>
      </c>
      <c r="C106" s="102">
        <f>E99+8</f>
        <v>8</v>
      </c>
      <c r="D106" s="103">
        <f>D99+2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4" ht="13.2">
      <c r="A107" s="260"/>
      <c r="B107" s="101">
        <f>D99+3</f>
        <v>3</v>
      </c>
      <c r="C107" s="102">
        <f>E99+10</f>
        <v>10</v>
      </c>
      <c r="D107" s="103">
        <f>D99+3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4" ht="13.2">
      <c r="A108" s="260"/>
      <c r="B108" s="101">
        <f>D99+4</f>
        <v>4</v>
      </c>
      <c r="C108" s="102">
        <f>E99+14</f>
        <v>14</v>
      </c>
      <c r="D108" s="103">
        <f>D99+4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4" ht="12.9" customHeight="1">
      <c r="L109" s="104"/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47</v>
      </c>
      <c r="G111" s="87">
        <f>SUM(B117:D117)</f>
        <v>8</v>
      </c>
      <c r="H111" s="90">
        <f ca="1">(F111*G111)/1000000</f>
        <v>3.7599999999999998E-4</v>
      </c>
      <c r="I111" s="91">
        <f ca="1">I118/H111</f>
        <v>1329787.2340425532</v>
      </c>
      <c r="J111" s="92">
        <f>C111+D111+20</f>
        <v>20</v>
      </c>
      <c r="K111" s="92">
        <f>(D111*2)+E111+20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51</v>
      </c>
      <c r="G112" s="87">
        <f>SUM(B118:D118)</f>
        <v>12</v>
      </c>
      <c r="H112" s="93">
        <f ca="1">F112*G112/1000000</f>
        <v>6.1200000000000002E-4</v>
      </c>
      <c r="I112" s="91">
        <f ca="1">I118/H112</f>
        <v>816993.46405228751</v>
      </c>
      <c r="J112" s="92">
        <f>C111+D111+20</f>
        <v>20</v>
      </c>
      <c r="K112" s="92">
        <f>(D111*2)+E111+20</f>
        <v>20</v>
      </c>
      <c r="L112" s="104"/>
      <c r="N112">
        <f ca="1">IF(((($C$3+$D$3)*2+51)&lt;=2900)*AND($M$3=1),($C$3+$D$3)*2+51,IF(((($C$3+$D$3)*2+51)&gt;=2855),2*F118,($C$3+$D$3)*2+51))</f>
        <v>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55</v>
      </c>
      <c r="G113" s="87">
        <f>SUM(B119:D119)</f>
        <v>16</v>
      </c>
      <c r="H113" s="93">
        <f ca="1">F113*G113/1000000</f>
        <v>8.8000000000000003E-4</v>
      </c>
      <c r="I113" s="91">
        <f ca="1">I118/H113</f>
        <v>568181.81818181812</v>
      </c>
      <c r="J113" s="92">
        <f>C111+D111+40</f>
        <v>40</v>
      </c>
      <c r="K113" s="92">
        <f>(D111*2)+E111+40</f>
        <v>40</v>
      </c>
      <c r="L113" s="104"/>
      <c r="N113">
        <f ca="1">IF(((($C$3+$D$3)*2+55)&lt;=2900)*AND($M$3=1),($C$3+$D$3)*2+55,IF(((($C$3+$D$3)*2+55)&gt;=2855),2*F119,($C$3+$D$3)*2+55))</f>
        <v>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63</v>
      </c>
      <c r="G114" s="87">
        <f>SUM(B120:D120)</f>
        <v>22</v>
      </c>
      <c r="H114" s="93">
        <f ca="1">F114*G114/1000000</f>
        <v>1.3860000000000001E-3</v>
      </c>
      <c r="I114" s="91">
        <f ca="1">I118/H114</f>
        <v>360750.36075036071</v>
      </c>
      <c r="J114" s="92">
        <f>C111+D111+40</f>
        <v>40</v>
      </c>
      <c r="K114" s="92">
        <f>(D111*2)+E111+40</f>
        <v>40</v>
      </c>
      <c r="L114" s="104"/>
      <c r="N114">
        <f ca="1">IF(((($C$3+$D$3)*2+59)&lt;=2900)*AND($M$3=1),($C$3+$D$3)*2+59,IF(((($C$3+$D$3)*2+59)&gt;=2855),2*F120,($C$3+$D$3)*2+59))</f>
        <v>59</v>
      </c>
    </row>
    <row r="115" spans="1:14" ht="13.2">
      <c r="A115" s="260"/>
      <c r="E115" t="s">
        <v>35</v>
      </c>
      <c r="L115" s="104"/>
    </row>
    <row r="116" spans="1:14" ht="25.8">
      <c r="A116" s="260"/>
      <c r="B116" s="94" t="s">
        <v>71</v>
      </c>
      <c r="C116" s="94"/>
      <c r="D116" s="94"/>
      <c r="F116" s="261" t="s">
        <v>58</v>
      </c>
      <c r="G116" s="261"/>
      <c r="H116" s="87" t="s">
        <v>59</v>
      </c>
      <c r="I116" s="95" t="s">
        <v>63</v>
      </c>
      <c r="L116" s="104"/>
    </row>
    <row r="117" spans="1:14" ht="13.2">
      <c r="A117" s="260"/>
      <c r="B117" s="96">
        <f>D111+1</f>
        <v>1</v>
      </c>
      <c r="C117" s="97">
        <f>E111+6</f>
        <v>6</v>
      </c>
      <c r="D117" s="98">
        <f>D111+1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D111+2</f>
        <v>2</v>
      </c>
      <c r="C118" s="102">
        <f>E111+8</f>
        <v>8</v>
      </c>
      <c r="D118" s="103">
        <f>D111+2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D111+3</f>
        <v>3</v>
      </c>
      <c r="C119" s="102">
        <f>E111+10</f>
        <v>10</v>
      </c>
      <c r="D119" s="103">
        <f>D111+3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D111+4</f>
        <v>4</v>
      </c>
      <c r="C120" s="102">
        <f>E111+14</f>
        <v>14</v>
      </c>
      <c r="D120" s="103">
        <f>D111+4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51">
    <mergeCell ref="L1:L2"/>
    <mergeCell ref="M1:M2"/>
    <mergeCell ref="A2:A12"/>
    <mergeCell ref="F2:G2"/>
    <mergeCell ref="J2:K2"/>
    <mergeCell ref="F8:G8"/>
    <mergeCell ref="M13:M14"/>
    <mergeCell ref="A14:A24"/>
    <mergeCell ref="F14:G14"/>
    <mergeCell ref="J14:K14"/>
    <mergeCell ref="F20:G20"/>
    <mergeCell ref="M25:M26"/>
    <mergeCell ref="A26:A36"/>
    <mergeCell ref="F26:G26"/>
    <mergeCell ref="J26:K26"/>
    <mergeCell ref="F32:G32"/>
    <mergeCell ref="M37:M38"/>
    <mergeCell ref="A38:A48"/>
    <mergeCell ref="F38:G38"/>
    <mergeCell ref="J38:K38"/>
    <mergeCell ref="F44:G44"/>
    <mergeCell ref="M49:M50"/>
    <mergeCell ref="A50:A60"/>
    <mergeCell ref="F50:G50"/>
    <mergeCell ref="J50:K50"/>
    <mergeCell ref="F56:G56"/>
    <mergeCell ref="M61:M62"/>
    <mergeCell ref="A62:A72"/>
    <mergeCell ref="F62:G62"/>
    <mergeCell ref="J62:K62"/>
    <mergeCell ref="F68:G68"/>
    <mergeCell ref="M73:M74"/>
    <mergeCell ref="A74:A84"/>
    <mergeCell ref="F74:G74"/>
    <mergeCell ref="J74:K74"/>
    <mergeCell ref="F80:G80"/>
    <mergeCell ref="M85:M86"/>
    <mergeCell ref="A86:A96"/>
    <mergeCell ref="F86:G86"/>
    <mergeCell ref="J86:K86"/>
    <mergeCell ref="F92:G92"/>
    <mergeCell ref="M97:M98"/>
    <mergeCell ref="A98:A108"/>
    <mergeCell ref="F98:G98"/>
    <mergeCell ref="J98:K98"/>
    <mergeCell ref="F104:G104"/>
    <mergeCell ref="M109:M110"/>
    <mergeCell ref="A110:A120"/>
    <mergeCell ref="F110:G110"/>
    <mergeCell ref="J110:K110"/>
    <mergeCell ref="F116:G116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T120"/>
  <sheetViews>
    <sheetView zoomScale="74" zoomScaleNormal="74" workbookViewId="0">
      <selection activeCell="P38" sqref="P38"/>
    </sheetView>
  </sheetViews>
  <sheetFormatPr defaultColWidth="11.5546875" defaultRowHeight="12.9" customHeight="1"/>
  <sheetData>
    <row r="1" spans="1:20" ht="12.9" customHeight="1">
      <c r="L1" s="265" t="s">
        <v>64</v>
      </c>
      <c r="M1" s="265" t="s">
        <v>65</v>
      </c>
      <c r="O1" s="105"/>
      <c r="P1" s="266" t="s">
        <v>73</v>
      </c>
      <c r="Q1" s="266"/>
      <c r="R1" s="108" t="s">
        <v>74</v>
      </c>
      <c r="S1" s="108"/>
      <c r="T1" s="108" t="s">
        <v>75</v>
      </c>
    </row>
    <row r="2" spans="1:20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  <c r="P2" s="109" t="s">
        <v>76</v>
      </c>
      <c r="Q2" s="88">
        <v>2</v>
      </c>
      <c r="R2" s="109">
        <v>30</v>
      </c>
      <c r="S2" s="109"/>
      <c r="T2" s="109">
        <v>30</v>
      </c>
    </row>
    <row r="3" spans="1:20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 ca="1">IF(((($C$3+$D$3)*2+47)&lt;=2900)*AND($M$3=1),($C$3+$D$3)*2+47,IF(((($C$3+$D$3)*2+47)&gt;=2855),2*F9,($C$3+$D$3)*2+47))</f>
        <v>47</v>
      </c>
      <c r="G3" s="87">
        <f>SUM(B9:C9)</f>
        <v>4</v>
      </c>
      <c r="H3" s="90">
        <f ca="1">(F3*G3)/1000000</f>
        <v>1.8799999999999999E-4</v>
      </c>
      <c r="I3" s="91">
        <f ca="1">I10/H3</f>
        <v>2659574.4680851065</v>
      </c>
      <c r="J3" s="92">
        <f>C3+D3+20</f>
        <v>20</v>
      </c>
      <c r="K3" s="92">
        <f>E3+D3+20</f>
        <v>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47</v>
      </c>
      <c r="O3" s="6"/>
      <c r="P3" s="109" t="s">
        <v>77</v>
      </c>
      <c r="Q3" s="110">
        <v>3</v>
      </c>
      <c r="R3" s="109">
        <v>30</v>
      </c>
      <c r="S3" s="109"/>
      <c r="T3" s="109">
        <v>30</v>
      </c>
    </row>
    <row r="4" spans="1:20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51</v>
      </c>
      <c r="G4" s="87">
        <f>SUM(B10:C10)</f>
        <v>6</v>
      </c>
      <c r="H4" s="93">
        <f ca="1">F4*G4/1000000</f>
        <v>3.0600000000000001E-4</v>
      </c>
      <c r="I4" s="91">
        <f ca="1">I10/H4</f>
        <v>1633986.928104575</v>
      </c>
      <c r="J4" s="92">
        <f>C3+D3+20</f>
        <v>20</v>
      </c>
      <c r="K4" s="92">
        <f>E3+D3+20</f>
        <v>20</v>
      </c>
      <c r="L4" s="104"/>
      <c r="M4" s="105"/>
      <c r="N4">
        <f ca="1">IF(((($C$3+$D$3)*2+51)&lt;=2900)*AND($M$3=1),($C$3+$D$3)*2+51,IF(((($C$3+$D$3)*2+51)&gt;=2855),2*F10,($C$3+$D$3)*2+51))</f>
        <v>51</v>
      </c>
      <c r="P4" s="111" t="s">
        <v>78</v>
      </c>
      <c r="Q4" s="112">
        <v>4</v>
      </c>
      <c r="R4" s="109">
        <v>30</v>
      </c>
      <c r="S4" s="109"/>
      <c r="T4" s="109">
        <v>40</v>
      </c>
    </row>
    <row r="5" spans="1:20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55</v>
      </c>
      <c r="G5" s="87">
        <f>SUM(B11:C11)</f>
        <v>8</v>
      </c>
      <c r="H5" s="93">
        <f ca="1">F5*G5/1000000</f>
        <v>4.4000000000000002E-4</v>
      </c>
      <c r="I5" s="91">
        <f ca="1">I10/H5</f>
        <v>1136363.6363636362</v>
      </c>
      <c r="J5" s="92">
        <f>C3+D3+40</f>
        <v>40</v>
      </c>
      <c r="K5" s="92">
        <f>E3+D3+40</f>
        <v>40</v>
      </c>
      <c r="L5" s="104"/>
      <c r="N5">
        <f ca="1">IF(((($C$3+$D$3)*2+55)&lt;=2900)*AND($M$3=1),($C$3+$D$3)*2+55,IF(((($C$3+$D$3)*2+55)&gt;=2855),2*F11,($C$3+$D$3)*2+55))</f>
        <v>55</v>
      </c>
      <c r="P5" s="113" t="s">
        <v>79</v>
      </c>
      <c r="Q5" s="114">
        <v>5</v>
      </c>
      <c r="R5" s="109">
        <v>40</v>
      </c>
      <c r="S5" s="109"/>
      <c r="T5" s="109">
        <v>50</v>
      </c>
    </row>
    <row r="6" spans="1:20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63</v>
      </c>
      <c r="G6" s="87">
        <f>SUM(B12:C12)</f>
        <v>11</v>
      </c>
      <c r="H6" s="93">
        <f ca="1">F6*G6/1000000</f>
        <v>6.9300000000000004E-4</v>
      </c>
      <c r="I6" s="91">
        <f ca="1">I10/H6</f>
        <v>721500.72150072141</v>
      </c>
      <c r="J6" s="92">
        <f>C3+D3+40</f>
        <v>40</v>
      </c>
      <c r="K6" s="92">
        <f>E3+D3+40</f>
        <v>40</v>
      </c>
      <c r="L6" s="104"/>
      <c r="M6" s="6"/>
      <c r="N6">
        <f ca="1">IF(((($C$3+$D$3)*2+59)&lt;=2900)*AND($M$3=1),($C$3+$D$3)*2+59,IF(((($C$3+$D$3)*2+59)&gt;=2855),2*F12,($C$3+$D$3)*2+59))</f>
        <v>59</v>
      </c>
      <c r="P6" s="115" t="s">
        <v>80</v>
      </c>
      <c r="Q6" s="114">
        <v>7</v>
      </c>
      <c r="R6" s="109">
        <v>40</v>
      </c>
      <c r="S6" s="109"/>
      <c r="T6" s="109">
        <v>50</v>
      </c>
    </row>
    <row r="7" spans="1:20" ht="13.2">
      <c r="A7" s="260"/>
      <c r="E7" t="s">
        <v>35</v>
      </c>
      <c r="L7" s="104"/>
    </row>
    <row r="8" spans="1:20" ht="13.35" customHeight="1">
      <c r="A8" s="260"/>
      <c r="B8" s="263" t="s">
        <v>71</v>
      </c>
      <c r="C8" s="263"/>
      <c r="D8" s="263"/>
      <c r="F8" s="261" t="s">
        <v>58</v>
      </c>
      <c r="G8" s="261"/>
      <c r="H8" s="87" t="s">
        <v>59</v>
      </c>
      <c r="I8" s="264" t="s">
        <v>63</v>
      </c>
      <c r="L8" s="104"/>
    </row>
    <row r="9" spans="1:20" ht="13.2">
      <c r="A9" s="260"/>
      <c r="B9" s="96">
        <f>D3+1</f>
        <v>1</v>
      </c>
      <c r="C9" s="97">
        <f>E3+3</f>
        <v>3</v>
      </c>
      <c r="D9" s="98"/>
      <c r="E9" s="89" t="s">
        <v>72</v>
      </c>
      <c r="F9" s="87">
        <f>C3+D3+51</f>
        <v>51</v>
      </c>
      <c r="G9" s="87">
        <f>SUM(B9:C9)</f>
        <v>4</v>
      </c>
      <c r="H9" s="90">
        <f>((F9*G9)/1000000)*2</f>
        <v>4.08E-4</v>
      </c>
      <c r="I9" s="264"/>
      <c r="L9" s="104"/>
    </row>
    <row r="10" spans="1:20" ht="13.2">
      <c r="A10" s="260"/>
      <c r="B10" s="101">
        <f>D3+2</f>
        <v>2</v>
      </c>
      <c r="C10" s="102">
        <f>E3+4</f>
        <v>4</v>
      </c>
      <c r="D10" s="103"/>
      <c r="E10" s="89" t="s">
        <v>72</v>
      </c>
      <c r="F10" s="87">
        <f>C3+D3+53</f>
        <v>53</v>
      </c>
      <c r="G10" s="87">
        <f>SUM(B10:C10)</f>
        <v>6</v>
      </c>
      <c r="H10" s="90">
        <f>(F10*G10/1000000)*2</f>
        <v>6.3599999999999996E-4</v>
      </c>
      <c r="I10" s="99">
        <v>500</v>
      </c>
      <c r="L10" s="104"/>
    </row>
    <row r="11" spans="1:20" ht="13.2">
      <c r="A11" s="260"/>
      <c r="B11" s="101">
        <f>D3+3</f>
        <v>3</v>
      </c>
      <c r="C11" s="102">
        <f>E3+5</f>
        <v>5</v>
      </c>
      <c r="D11" s="103"/>
      <c r="E11" s="89" t="s">
        <v>72</v>
      </c>
      <c r="F11" s="87">
        <f>C3+D3+55</f>
        <v>55</v>
      </c>
      <c r="G11" s="87">
        <f>SUM(B11:C11)</f>
        <v>8</v>
      </c>
      <c r="H11" s="90">
        <f>(F11*G11/1000000)*2</f>
        <v>8.8000000000000003E-4</v>
      </c>
      <c r="I11" s="6"/>
      <c r="L11" s="104"/>
    </row>
    <row r="12" spans="1:20" ht="13.2">
      <c r="A12" s="260"/>
      <c r="B12" s="101">
        <f>D3+4</f>
        <v>4</v>
      </c>
      <c r="C12" s="102">
        <f>E3+7</f>
        <v>7</v>
      </c>
      <c r="D12" s="103"/>
      <c r="E12" s="89" t="s">
        <v>72</v>
      </c>
      <c r="F12" s="87">
        <f>C3+D3+59</f>
        <v>59</v>
      </c>
      <c r="G12" s="87">
        <f>SUM(B12:C12)</f>
        <v>11</v>
      </c>
      <c r="H12" s="90">
        <f>(F12*G12/1000000)*2</f>
        <v>1.2979999999999999E-3</v>
      </c>
      <c r="I12" s="6"/>
      <c r="L12" s="104"/>
    </row>
    <row r="13" spans="1:20" ht="12.9" customHeight="1">
      <c r="L13" s="104"/>
      <c r="M13" s="265" t="s">
        <v>65</v>
      </c>
    </row>
    <row r="14" spans="1:20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20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47</v>
      </c>
      <c r="G15" s="87">
        <f>SUM(B21:C21)</f>
        <v>4</v>
      </c>
      <c r="H15" s="90">
        <f ca="1">(F15*G15)/1000000</f>
        <v>1.8799999999999999E-4</v>
      </c>
      <c r="I15" s="91">
        <f ca="1">I22/H15</f>
        <v>2659574.4680851065</v>
      </c>
      <c r="J15" s="92">
        <f>C15+D15+20</f>
        <v>20</v>
      </c>
      <c r="K15" s="92">
        <f>E15+D15+20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47</v>
      </c>
      <c r="O15" s="6"/>
    </row>
    <row r="16" spans="1:20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51</v>
      </c>
      <c r="G16" s="87">
        <f>SUM(B22:C22)</f>
        <v>6</v>
      </c>
      <c r="H16" s="93">
        <f ca="1">F16*G16/1000000</f>
        <v>3.0600000000000001E-4</v>
      </c>
      <c r="I16" s="91">
        <f ca="1">I22/H16</f>
        <v>1633986.928104575</v>
      </c>
      <c r="J16" s="92">
        <f>C15+D15+20</f>
        <v>20</v>
      </c>
      <c r="K16" s="92">
        <f>E15+D15+20</f>
        <v>20</v>
      </c>
      <c r="L16" s="104"/>
      <c r="N16">
        <f ca="1">IF(((($C$3+$D$3)*2+51)&lt;=2900)*AND($M$3=1),($C$3+$D$3)*2+51,IF(((($C$3+$D$3)*2+51)&gt;=2855),2*F22,($C$3+$D$3)*2+51))</f>
        <v>51</v>
      </c>
    </row>
    <row r="17" spans="1:15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55</v>
      </c>
      <c r="G17" s="87">
        <f>SUM(B23:C23)</f>
        <v>8</v>
      </c>
      <c r="H17" s="93">
        <f ca="1">F17*G17/1000000</f>
        <v>4.4000000000000002E-4</v>
      </c>
      <c r="I17" s="91">
        <f ca="1">I22/H17</f>
        <v>1136363.6363636362</v>
      </c>
      <c r="J17" s="92">
        <f>C15+D15+40</f>
        <v>40</v>
      </c>
      <c r="K17" s="92">
        <f>E15+D15+40</f>
        <v>40</v>
      </c>
      <c r="L17" s="104"/>
      <c r="N17">
        <f ca="1">IF(((($C$3+$D$3)*2+55)&lt;=2900)*AND($M$3=1),($C$3+$D$3)*2+55,IF(((($C$3+$D$3)*2+55)&gt;=2855),2*F23,($C$3+$D$3)*2+55))</f>
        <v>55</v>
      </c>
    </row>
    <row r="18" spans="1:15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63</v>
      </c>
      <c r="G18" s="87">
        <f>SUM(B24:C24)</f>
        <v>11</v>
      </c>
      <c r="H18" s="93">
        <f ca="1">F18*G18/1000000</f>
        <v>6.9300000000000004E-4</v>
      </c>
      <c r="I18" s="91">
        <f ca="1">I22/H18</f>
        <v>721500.72150072141</v>
      </c>
      <c r="J18" s="92">
        <f>C15+D15+40</f>
        <v>40</v>
      </c>
      <c r="K18" s="92">
        <f>E15+D15+40</f>
        <v>40</v>
      </c>
      <c r="L18" s="104"/>
      <c r="N18">
        <f ca="1">IF(((($C$3+$D$3)*2+59)&lt;=2900)*AND($M$3=1),($C$3+$D$3)*2+59,IF(((($C$3+$D$3)*2+59)&gt;=2855),2*F24,($C$3+$D$3)*2+59))</f>
        <v>59</v>
      </c>
    </row>
    <row r="19" spans="1:15" ht="13.2">
      <c r="A19" s="260"/>
      <c r="E19" t="s">
        <v>35</v>
      </c>
      <c r="L19" s="104"/>
    </row>
    <row r="20" spans="1:15" ht="13.35" customHeight="1">
      <c r="A20" s="260"/>
      <c r="B20" s="263" t="s">
        <v>71</v>
      </c>
      <c r="C20" s="263"/>
      <c r="D20" s="263"/>
      <c r="F20" s="261" t="s">
        <v>58</v>
      </c>
      <c r="G20" s="261"/>
      <c r="H20" s="87" t="s">
        <v>59</v>
      </c>
      <c r="I20" s="264" t="s">
        <v>63</v>
      </c>
      <c r="L20" s="104"/>
    </row>
    <row r="21" spans="1:15" ht="13.2">
      <c r="A21" s="260"/>
      <c r="B21" s="96">
        <f>D15+1</f>
        <v>1</v>
      </c>
      <c r="C21" s="97">
        <f>E15+3</f>
        <v>3</v>
      </c>
      <c r="D21" s="98"/>
      <c r="E21" s="89" t="s">
        <v>72</v>
      </c>
      <c r="F21" s="87">
        <f>C15+D15+51</f>
        <v>51</v>
      </c>
      <c r="G21" s="87">
        <f>SUM(B21:C21)</f>
        <v>4</v>
      </c>
      <c r="H21" s="90">
        <f>((F21*G21)/1000000)*2</f>
        <v>4.08E-4</v>
      </c>
      <c r="I21" s="264"/>
      <c r="L21" s="104"/>
    </row>
    <row r="22" spans="1:15" ht="13.2">
      <c r="A22" s="260"/>
      <c r="B22" s="101">
        <f>D15+2</f>
        <v>2</v>
      </c>
      <c r="C22" s="102">
        <f>E15+4</f>
        <v>4</v>
      </c>
      <c r="D22" s="103"/>
      <c r="E22" s="89" t="s">
        <v>72</v>
      </c>
      <c r="F22" s="87">
        <f>C15+D15+53</f>
        <v>53</v>
      </c>
      <c r="G22" s="87">
        <f>SUM(B22:C22)</f>
        <v>6</v>
      </c>
      <c r="H22" s="90">
        <f>(F22*G22/1000000)*2</f>
        <v>6.3599999999999996E-4</v>
      </c>
      <c r="I22" s="99">
        <v>500</v>
      </c>
      <c r="L22" s="104"/>
    </row>
    <row r="23" spans="1:15" ht="13.2">
      <c r="A23" s="260"/>
      <c r="B23" s="101">
        <f>D15+3</f>
        <v>3</v>
      </c>
      <c r="C23" s="102">
        <f>E15+5</f>
        <v>5</v>
      </c>
      <c r="D23" s="103"/>
      <c r="E23" s="89" t="s">
        <v>72</v>
      </c>
      <c r="F23" s="87">
        <f>C15+D15+55</f>
        <v>55</v>
      </c>
      <c r="G23" s="87">
        <f>SUM(B23:C23)</f>
        <v>8</v>
      </c>
      <c r="H23" s="90">
        <f>(F23*G23/1000000)*2</f>
        <v>8.8000000000000003E-4</v>
      </c>
      <c r="I23" s="6"/>
      <c r="L23" s="104"/>
    </row>
    <row r="24" spans="1:15" ht="13.2">
      <c r="A24" s="260"/>
      <c r="B24" s="101">
        <f>D15+4</f>
        <v>4</v>
      </c>
      <c r="C24" s="102">
        <f>E15+7</f>
        <v>7</v>
      </c>
      <c r="D24" s="103"/>
      <c r="E24" s="89" t="s">
        <v>72</v>
      </c>
      <c r="F24" s="87">
        <f>C15+D15+59</f>
        <v>59</v>
      </c>
      <c r="G24" s="87">
        <f>SUM(B24:C24)</f>
        <v>11</v>
      </c>
      <c r="H24" s="90">
        <f>(F24*G24/1000000)*2</f>
        <v>1.2979999999999999E-3</v>
      </c>
      <c r="I24" s="6"/>
      <c r="L24" s="104"/>
    </row>
    <row r="25" spans="1:15" ht="12.9" customHeight="1">
      <c r="L25" s="104"/>
      <c r="M25" s="265" t="s">
        <v>65</v>
      </c>
    </row>
    <row r="26" spans="1:15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5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47</v>
      </c>
      <c r="G27" s="87">
        <f>SUM(B33:C33)</f>
        <v>4</v>
      </c>
      <c r="H27" s="90">
        <f ca="1">(F27*G27)/1000000</f>
        <v>1.8799999999999999E-4</v>
      </c>
      <c r="I27" s="91">
        <f ca="1">I34/H27</f>
        <v>2659574.4680851065</v>
      </c>
      <c r="J27" s="92">
        <f>C27+D27+20</f>
        <v>20</v>
      </c>
      <c r="K27" s="92">
        <f>E27+D27+20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47</v>
      </c>
      <c r="O27" s="6"/>
    </row>
    <row r="28" spans="1:15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51</v>
      </c>
      <c r="G28" s="87">
        <f>SUM(B34:C34)</f>
        <v>6</v>
      </c>
      <c r="H28" s="93">
        <f ca="1">F28*G28/1000000</f>
        <v>3.0600000000000001E-4</v>
      </c>
      <c r="I28" s="91">
        <f ca="1">I34/H28</f>
        <v>1633986.928104575</v>
      </c>
      <c r="J28" s="92">
        <f>C27+D27+20</f>
        <v>20</v>
      </c>
      <c r="K28" s="92">
        <f>E27+D27+20</f>
        <v>20</v>
      </c>
      <c r="L28" s="104"/>
      <c r="N28">
        <f ca="1">IF(((($C$3+$D$3)*2+51)&lt;=2900)*AND($M$3=1),($C$3+$D$3)*2+51,IF(((($C$3+$D$3)*2+51)&gt;=2855),2*F34,($C$3+$D$3)*2+51))</f>
        <v>51</v>
      </c>
    </row>
    <row r="29" spans="1:15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55</v>
      </c>
      <c r="G29" s="87">
        <f>SUM(B35:C35)</f>
        <v>8</v>
      </c>
      <c r="H29" s="93">
        <f ca="1">F29*G29/1000000</f>
        <v>4.4000000000000002E-4</v>
      </c>
      <c r="I29" s="91">
        <f ca="1">I34/H29</f>
        <v>1136363.6363636362</v>
      </c>
      <c r="J29" s="92">
        <f>C27+D27+40</f>
        <v>40</v>
      </c>
      <c r="K29" s="92">
        <f>E27+D27+40</f>
        <v>40</v>
      </c>
      <c r="L29" s="104"/>
      <c r="N29">
        <f ca="1">IF(((($C$3+$D$3)*2+55)&lt;=2900)*AND($M$3=1),($C$3+$D$3)*2+55,IF(((($C$3+$D$3)*2+55)&gt;=2855),2*F35,($C$3+$D$3)*2+55))</f>
        <v>55</v>
      </c>
    </row>
    <row r="30" spans="1:15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63</v>
      </c>
      <c r="G30" s="87">
        <f>SUM(B36:C36)</f>
        <v>11</v>
      </c>
      <c r="H30" s="93">
        <f ca="1">F30*G30/1000000</f>
        <v>6.9300000000000004E-4</v>
      </c>
      <c r="I30" s="91">
        <f ca="1">I34/H30</f>
        <v>721500.72150072141</v>
      </c>
      <c r="J30" s="92">
        <f>C27+D27+40</f>
        <v>40</v>
      </c>
      <c r="K30" s="92">
        <f>E27+D27+40</f>
        <v>40</v>
      </c>
      <c r="L30" s="104"/>
      <c r="N30">
        <f ca="1">IF(((($C$3+$D$3)*2+59)&lt;=2900)*AND($M$3=1),($C$3+$D$3)*2+59,IF(((($C$3+$D$3)*2+59)&gt;=2855),2*F36,($C$3+$D$3)*2+59))</f>
        <v>59</v>
      </c>
    </row>
    <row r="31" spans="1:15" ht="13.2">
      <c r="A31" s="260"/>
      <c r="E31" t="s">
        <v>35</v>
      </c>
      <c r="L31" s="104"/>
    </row>
    <row r="32" spans="1:15" ht="13.35" customHeight="1">
      <c r="A32" s="260"/>
      <c r="B32" s="263" t="s">
        <v>71</v>
      </c>
      <c r="C32" s="263"/>
      <c r="D32" s="263"/>
      <c r="F32" s="261" t="s">
        <v>58</v>
      </c>
      <c r="G32" s="261"/>
      <c r="H32" s="87" t="s">
        <v>59</v>
      </c>
      <c r="I32" s="264" t="s">
        <v>63</v>
      </c>
      <c r="L32" s="104"/>
    </row>
    <row r="33" spans="1:15" ht="13.2">
      <c r="A33" s="260"/>
      <c r="B33" s="96">
        <f>D27+1</f>
        <v>1</v>
      </c>
      <c r="C33" s="97">
        <f>E27+3</f>
        <v>3</v>
      </c>
      <c r="D33" s="98"/>
      <c r="E33" s="89" t="s">
        <v>72</v>
      </c>
      <c r="F33" s="87">
        <f>C27+D27+51</f>
        <v>51</v>
      </c>
      <c r="G33" s="87">
        <f>SUM(B33:C33)</f>
        <v>4</v>
      </c>
      <c r="H33" s="90">
        <f>((F33*G33)/1000000)*2</f>
        <v>4.08E-4</v>
      </c>
      <c r="I33" s="264"/>
      <c r="L33" s="104"/>
    </row>
    <row r="34" spans="1:15" ht="13.2">
      <c r="A34" s="260"/>
      <c r="B34" s="101">
        <f>D27+2</f>
        <v>2</v>
      </c>
      <c r="C34" s="102">
        <f>E27+4</f>
        <v>4</v>
      </c>
      <c r="D34" s="103"/>
      <c r="E34" s="89" t="s">
        <v>72</v>
      </c>
      <c r="F34" s="87">
        <f>C27+D27+53</f>
        <v>53</v>
      </c>
      <c r="G34" s="87">
        <f>SUM(B34:C34)</f>
        <v>6</v>
      </c>
      <c r="H34" s="90">
        <f>(F34*G34/1000000)*2</f>
        <v>6.3599999999999996E-4</v>
      </c>
      <c r="I34" s="99">
        <v>500</v>
      </c>
      <c r="L34" s="104"/>
    </row>
    <row r="35" spans="1:15" ht="13.2">
      <c r="A35" s="260"/>
      <c r="B35" s="101">
        <f>D27+3</f>
        <v>3</v>
      </c>
      <c r="C35" s="102">
        <f>E27+5</f>
        <v>5</v>
      </c>
      <c r="D35" s="103"/>
      <c r="E35" s="89" t="s">
        <v>72</v>
      </c>
      <c r="F35" s="87">
        <f>C27+D27+55</f>
        <v>55</v>
      </c>
      <c r="G35" s="87">
        <f>SUM(B35:C35)</f>
        <v>8</v>
      </c>
      <c r="H35" s="90">
        <f>(F35*G35/1000000)*2</f>
        <v>8.8000000000000003E-4</v>
      </c>
      <c r="I35" s="6"/>
      <c r="L35" s="104"/>
    </row>
    <row r="36" spans="1:15" ht="13.2">
      <c r="A36" s="260"/>
      <c r="B36" s="101">
        <f>D27+4</f>
        <v>4</v>
      </c>
      <c r="C36" s="102">
        <f>E27+7</f>
        <v>7</v>
      </c>
      <c r="D36" s="103"/>
      <c r="E36" s="89" t="s">
        <v>72</v>
      </c>
      <c r="F36" s="87">
        <f>C27+D27+59</f>
        <v>59</v>
      </c>
      <c r="G36" s="87">
        <f>SUM(B36:C36)</f>
        <v>11</v>
      </c>
      <c r="H36" s="90">
        <f>(F36*G36/1000000)*2</f>
        <v>1.2979999999999999E-3</v>
      </c>
      <c r="I36" s="6"/>
      <c r="L36" s="104"/>
    </row>
    <row r="37" spans="1:15" ht="12.9" customHeight="1">
      <c r="L37" s="104"/>
      <c r="M37" s="265" t="s">
        <v>65</v>
      </c>
    </row>
    <row r="38" spans="1:15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5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47</v>
      </c>
      <c r="G39" s="87">
        <f>SUM(B45:C45)</f>
        <v>4</v>
      </c>
      <c r="H39" s="90">
        <f ca="1">(F39*G39)/1000000</f>
        <v>1.8799999999999999E-4</v>
      </c>
      <c r="I39" s="91">
        <f ca="1">I46/H39</f>
        <v>2659574.4680851065</v>
      </c>
      <c r="J39" s="92">
        <f>C39+D39+20</f>
        <v>20</v>
      </c>
      <c r="K39" s="92">
        <f>E39+D39+20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47</v>
      </c>
      <c r="O39" s="6"/>
    </row>
    <row r="40" spans="1:15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51</v>
      </c>
      <c r="G40" s="87">
        <f>SUM(B46:C46)</f>
        <v>6</v>
      </c>
      <c r="H40" s="93">
        <f ca="1">F40*G40/1000000</f>
        <v>3.0600000000000001E-4</v>
      </c>
      <c r="I40" s="91">
        <f ca="1">I46/H40</f>
        <v>1633986.928104575</v>
      </c>
      <c r="J40" s="92">
        <f>C39+D39+20</f>
        <v>20</v>
      </c>
      <c r="K40" s="92">
        <f>E39+D39+20</f>
        <v>20</v>
      </c>
      <c r="L40" s="104"/>
      <c r="N40">
        <f ca="1">IF(((($C$3+$D$3)*2+51)&lt;=2900)*AND($M$3=1),($C$3+$D$3)*2+51,IF(((($C$3+$D$3)*2+51)&gt;=2855),2*F46,($C$3+$D$3)*2+51))</f>
        <v>51</v>
      </c>
    </row>
    <row r="41" spans="1:15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55</v>
      </c>
      <c r="G41" s="87">
        <f>SUM(B47:C47)</f>
        <v>8</v>
      </c>
      <c r="H41" s="93">
        <f ca="1">F41*G41/1000000</f>
        <v>4.4000000000000002E-4</v>
      </c>
      <c r="I41" s="91">
        <f ca="1">I46/H41</f>
        <v>1136363.6363636362</v>
      </c>
      <c r="J41" s="92">
        <f>C39+D39+40</f>
        <v>40</v>
      </c>
      <c r="K41" s="92">
        <f>E39+D39+40</f>
        <v>40</v>
      </c>
      <c r="L41" s="104"/>
      <c r="N41">
        <f ca="1">IF(((($C$3+$D$3)*2+55)&lt;=2900)*AND($M$3=1),($C$3+$D$3)*2+55,IF(((($C$3+$D$3)*2+55)&gt;=2855),2*F47,($C$3+$D$3)*2+55))</f>
        <v>55</v>
      </c>
    </row>
    <row r="42" spans="1:15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63</v>
      </c>
      <c r="G42" s="87">
        <f>SUM(B48:C48)</f>
        <v>11</v>
      </c>
      <c r="H42" s="93">
        <f ca="1">F42*G42/1000000</f>
        <v>6.9300000000000004E-4</v>
      </c>
      <c r="I42" s="91">
        <f ca="1">I46/H42</f>
        <v>721500.72150072141</v>
      </c>
      <c r="J42" s="92">
        <f>C39+D39+40</f>
        <v>40</v>
      </c>
      <c r="K42" s="92">
        <f>E39+D39+40</f>
        <v>40</v>
      </c>
      <c r="L42" s="104"/>
      <c r="N42">
        <f ca="1">IF(((($C$3+$D$3)*2+59)&lt;=2900)*AND($M$3=1),($C$3+$D$3)*2+59,IF(((($C$3+$D$3)*2+59)&gt;=2855),2*F48,($C$3+$D$3)*2+59))</f>
        <v>59</v>
      </c>
    </row>
    <row r="43" spans="1:15" ht="13.2">
      <c r="A43" s="260"/>
      <c r="E43" t="s">
        <v>35</v>
      </c>
      <c r="L43" s="104"/>
    </row>
    <row r="44" spans="1:15" ht="13.35" customHeight="1">
      <c r="A44" s="260"/>
      <c r="B44" s="263" t="s">
        <v>71</v>
      </c>
      <c r="C44" s="263"/>
      <c r="D44" s="263"/>
      <c r="F44" s="261" t="s">
        <v>58</v>
      </c>
      <c r="G44" s="261"/>
      <c r="H44" s="87" t="s">
        <v>59</v>
      </c>
      <c r="I44" s="264" t="s">
        <v>63</v>
      </c>
      <c r="L44" s="104"/>
    </row>
    <row r="45" spans="1:15" ht="13.2">
      <c r="A45" s="260"/>
      <c r="B45" s="96">
        <f>D39+1</f>
        <v>1</v>
      </c>
      <c r="C45" s="97">
        <f>E39+3</f>
        <v>3</v>
      </c>
      <c r="D45" s="98"/>
      <c r="E45" s="89" t="s">
        <v>72</v>
      </c>
      <c r="F45" s="87">
        <f>C39+D39+51</f>
        <v>51</v>
      </c>
      <c r="G45" s="87">
        <f>SUM(B45:C45)</f>
        <v>4</v>
      </c>
      <c r="H45" s="90">
        <f>((F45*G45)/1000000)*2</f>
        <v>4.08E-4</v>
      </c>
      <c r="I45" s="264"/>
      <c r="L45" s="104"/>
    </row>
    <row r="46" spans="1:15" ht="13.2">
      <c r="A46" s="260"/>
      <c r="B46" s="101">
        <f>D39+2</f>
        <v>2</v>
      </c>
      <c r="C46" s="102">
        <f>E39+4</f>
        <v>4</v>
      </c>
      <c r="D46" s="103"/>
      <c r="E46" s="89" t="s">
        <v>72</v>
      </c>
      <c r="F46" s="87">
        <f>C39+D39+53</f>
        <v>53</v>
      </c>
      <c r="G46" s="87">
        <f>SUM(B46:C46)</f>
        <v>6</v>
      </c>
      <c r="H46" s="90">
        <f>(F46*G46/1000000)*2</f>
        <v>6.3599999999999996E-4</v>
      </c>
      <c r="I46" s="99">
        <v>500</v>
      </c>
      <c r="L46" s="104"/>
    </row>
    <row r="47" spans="1:15" ht="13.2">
      <c r="A47" s="260"/>
      <c r="B47" s="101">
        <f>D39+3</f>
        <v>3</v>
      </c>
      <c r="C47" s="102">
        <f>E39+5</f>
        <v>5</v>
      </c>
      <c r="D47" s="103"/>
      <c r="E47" s="89" t="s">
        <v>72</v>
      </c>
      <c r="F47" s="87">
        <f>C39+D39+55</f>
        <v>55</v>
      </c>
      <c r="G47" s="87">
        <f>SUM(B47:C47)</f>
        <v>8</v>
      </c>
      <c r="H47" s="90">
        <f>(F47*G47/1000000)*2</f>
        <v>8.8000000000000003E-4</v>
      </c>
      <c r="I47" s="6"/>
      <c r="L47" s="104"/>
    </row>
    <row r="48" spans="1:15" ht="13.2">
      <c r="A48" s="260"/>
      <c r="B48" s="101">
        <f>D39+4</f>
        <v>4</v>
      </c>
      <c r="C48" s="102">
        <f>E39+7</f>
        <v>7</v>
      </c>
      <c r="D48" s="103"/>
      <c r="E48" s="89" t="s">
        <v>72</v>
      </c>
      <c r="F48" s="87">
        <f>C39+D39+59</f>
        <v>59</v>
      </c>
      <c r="G48" s="87">
        <f>SUM(B48:C48)</f>
        <v>11</v>
      </c>
      <c r="H48" s="90">
        <f>(F48*G48/1000000)*2</f>
        <v>1.2979999999999999E-3</v>
      </c>
      <c r="I48" s="6"/>
      <c r="L48" s="104"/>
    </row>
    <row r="49" spans="1:15" ht="12.9" customHeight="1">
      <c r="L49" s="104"/>
      <c r="M49" s="265" t="s">
        <v>65</v>
      </c>
    </row>
    <row r="50" spans="1:15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5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47</v>
      </c>
      <c r="G51" s="87">
        <f>SUM(B57:C57)</f>
        <v>4</v>
      </c>
      <c r="H51" s="90">
        <f ca="1">(F51*G51)/1000000</f>
        <v>1.8799999999999999E-4</v>
      </c>
      <c r="I51" s="91">
        <f ca="1">I58/H51</f>
        <v>2659574.4680851065</v>
      </c>
      <c r="J51" s="92">
        <f>C51+D51+20</f>
        <v>20</v>
      </c>
      <c r="K51" s="92">
        <f>E51+D51+20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47</v>
      </c>
      <c r="O51" s="6"/>
    </row>
    <row r="52" spans="1:15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51</v>
      </c>
      <c r="G52" s="87">
        <f>SUM(B58:C58)</f>
        <v>6</v>
      </c>
      <c r="H52" s="93">
        <f ca="1">F52*G52/1000000</f>
        <v>3.0600000000000001E-4</v>
      </c>
      <c r="I52" s="91">
        <f ca="1">I58/H52</f>
        <v>1633986.928104575</v>
      </c>
      <c r="J52" s="92">
        <f>C51+D51+20</f>
        <v>20</v>
      </c>
      <c r="K52" s="92">
        <f>E51+D51+20</f>
        <v>20</v>
      </c>
      <c r="L52" s="104"/>
      <c r="N52">
        <f ca="1">IF(((($C$3+$D$3)*2+51)&lt;=2900)*AND($M$3=1),($C$3+$D$3)*2+51,IF(((($C$3+$D$3)*2+51)&gt;=2855),2*F58,($C$3+$D$3)*2+51))</f>
        <v>51</v>
      </c>
    </row>
    <row r="53" spans="1:15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55</v>
      </c>
      <c r="G53" s="87">
        <f>SUM(B59:C59)</f>
        <v>8</v>
      </c>
      <c r="H53" s="93">
        <f ca="1">F53*G53/1000000</f>
        <v>4.4000000000000002E-4</v>
      </c>
      <c r="I53" s="91">
        <f ca="1">I58/H53</f>
        <v>1136363.6363636362</v>
      </c>
      <c r="J53" s="92">
        <f>C51+D51+40</f>
        <v>40</v>
      </c>
      <c r="K53" s="92">
        <f>E51+D51+40</f>
        <v>40</v>
      </c>
      <c r="L53" s="104"/>
      <c r="N53">
        <f ca="1">IF(((($C$3+$D$3)*2+55)&lt;=2900)*AND($M$3=1),($C$3+$D$3)*2+55,IF(((($C$3+$D$3)*2+55)&gt;=2855),2*F59,($C$3+$D$3)*2+55))</f>
        <v>55</v>
      </c>
    </row>
    <row r="54" spans="1:15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63</v>
      </c>
      <c r="G54" s="87">
        <f>SUM(B60:C60)</f>
        <v>11</v>
      </c>
      <c r="H54" s="93">
        <f ca="1">F54*G54/1000000</f>
        <v>6.9300000000000004E-4</v>
      </c>
      <c r="I54" s="91">
        <f ca="1">I58/H54</f>
        <v>721500.72150072141</v>
      </c>
      <c r="J54" s="92">
        <f>C51+D51+40</f>
        <v>40</v>
      </c>
      <c r="K54" s="92">
        <f>E51+D51+40</f>
        <v>40</v>
      </c>
      <c r="L54" s="104"/>
      <c r="N54">
        <f ca="1">IF(((($C$3+$D$3)*2+59)&lt;=2900)*AND($M$3=1),($C$3+$D$3)*2+59,IF(((($C$3+$D$3)*2+59)&gt;=2855),2*F60,($C$3+$D$3)*2+59))</f>
        <v>59</v>
      </c>
    </row>
    <row r="55" spans="1:15" ht="13.2">
      <c r="A55" s="260"/>
      <c r="E55" t="s">
        <v>35</v>
      </c>
      <c r="L55" s="104"/>
    </row>
    <row r="56" spans="1:15" ht="13.35" customHeight="1">
      <c r="A56" s="260"/>
      <c r="B56" s="263" t="s">
        <v>71</v>
      </c>
      <c r="C56" s="263"/>
      <c r="D56" s="263"/>
      <c r="F56" s="261" t="s">
        <v>58</v>
      </c>
      <c r="G56" s="261"/>
      <c r="H56" s="87" t="s">
        <v>59</v>
      </c>
      <c r="I56" s="264" t="s">
        <v>63</v>
      </c>
      <c r="L56" s="104"/>
    </row>
    <row r="57" spans="1:15" ht="13.2">
      <c r="A57" s="260"/>
      <c r="B57" s="96">
        <f>D51+1</f>
        <v>1</v>
      </c>
      <c r="C57" s="97">
        <f>E51+3</f>
        <v>3</v>
      </c>
      <c r="D57" s="98"/>
      <c r="E57" s="89" t="s">
        <v>72</v>
      </c>
      <c r="F57" s="87">
        <f>C51+D51+51</f>
        <v>51</v>
      </c>
      <c r="G57" s="87">
        <f>SUM(B57:C57)</f>
        <v>4</v>
      </c>
      <c r="H57" s="90">
        <f>((F57*G57)/1000000)*2</f>
        <v>4.08E-4</v>
      </c>
      <c r="I57" s="264"/>
      <c r="L57" s="104"/>
    </row>
    <row r="58" spans="1:15" ht="13.2">
      <c r="A58" s="260"/>
      <c r="B58" s="101">
        <f>D51+2</f>
        <v>2</v>
      </c>
      <c r="C58" s="102">
        <f>E51+4</f>
        <v>4</v>
      </c>
      <c r="D58" s="103"/>
      <c r="E58" s="89" t="s">
        <v>72</v>
      </c>
      <c r="F58" s="87">
        <f>C51+D51+53</f>
        <v>53</v>
      </c>
      <c r="G58" s="87">
        <f>SUM(B58:C58)</f>
        <v>6</v>
      </c>
      <c r="H58" s="90">
        <f>(F58*G58/1000000)*2</f>
        <v>6.3599999999999996E-4</v>
      </c>
      <c r="I58" s="99">
        <v>500</v>
      </c>
      <c r="L58" s="104"/>
    </row>
    <row r="59" spans="1:15" ht="13.2">
      <c r="A59" s="260"/>
      <c r="B59" s="101">
        <f>D51+3</f>
        <v>3</v>
      </c>
      <c r="C59" s="102">
        <f>E51+5</f>
        <v>5</v>
      </c>
      <c r="D59" s="103"/>
      <c r="E59" s="89" t="s">
        <v>72</v>
      </c>
      <c r="F59" s="87">
        <f>C51+D51+55</f>
        <v>55</v>
      </c>
      <c r="G59" s="87">
        <f>SUM(B59:C59)</f>
        <v>8</v>
      </c>
      <c r="H59" s="90">
        <f>(F59*G59/1000000)*2</f>
        <v>8.8000000000000003E-4</v>
      </c>
      <c r="I59" s="6"/>
      <c r="L59" s="104"/>
    </row>
    <row r="60" spans="1:15" ht="13.2">
      <c r="A60" s="260"/>
      <c r="B60" s="101">
        <f>D51+4</f>
        <v>4</v>
      </c>
      <c r="C60" s="102">
        <f>E51+7</f>
        <v>7</v>
      </c>
      <c r="D60" s="103"/>
      <c r="E60" s="89" t="s">
        <v>72</v>
      </c>
      <c r="F60" s="87">
        <f>C51+D51+59</f>
        <v>59</v>
      </c>
      <c r="G60" s="87">
        <f>SUM(B60:C60)</f>
        <v>11</v>
      </c>
      <c r="H60" s="90">
        <f>(F60*G60/1000000)*2</f>
        <v>1.2979999999999999E-3</v>
      </c>
      <c r="I60" s="6"/>
      <c r="L60" s="104"/>
    </row>
    <row r="61" spans="1:15" ht="12.9" customHeight="1">
      <c r="L61" s="104"/>
      <c r="M61" s="265" t="s">
        <v>65</v>
      </c>
    </row>
    <row r="62" spans="1:15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5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47</v>
      </c>
      <c r="G63" s="87">
        <f>SUM(B69:C69)</f>
        <v>4</v>
      </c>
      <c r="H63" s="90">
        <f ca="1">(F63*G63)/1000000</f>
        <v>1.8799999999999999E-4</v>
      </c>
      <c r="I63" s="91">
        <f ca="1">I70/H63</f>
        <v>2659574.4680851065</v>
      </c>
      <c r="J63" s="92">
        <f>C63+D63+20</f>
        <v>20</v>
      </c>
      <c r="K63" s="92">
        <f>E63+D63+20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47</v>
      </c>
      <c r="O63" s="6"/>
    </row>
    <row r="64" spans="1:15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51</v>
      </c>
      <c r="G64" s="87">
        <f>SUM(B70:C70)</f>
        <v>6</v>
      </c>
      <c r="H64" s="93">
        <f ca="1">F64*G64/1000000</f>
        <v>3.0600000000000001E-4</v>
      </c>
      <c r="I64" s="91">
        <f ca="1">I70/H64</f>
        <v>1633986.928104575</v>
      </c>
      <c r="J64" s="92">
        <f>C63+D63+20</f>
        <v>20</v>
      </c>
      <c r="K64" s="92">
        <f>E63+D63+20</f>
        <v>20</v>
      </c>
      <c r="L64" s="104"/>
      <c r="N64">
        <f ca="1">IF(((($C$3+$D$3)*2+51)&lt;=2900)*AND($M$3=1),($C$3+$D$3)*2+51,IF(((($C$3+$D$3)*2+51)&gt;=2855),2*F70,($C$3+$D$3)*2+51))</f>
        <v>51</v>
      </c>
    </row>
    <row r="65" spans="1:15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55</v>
      </c>
      <c r="G65" s="87">
        <f>SUM(B71:C71)</f>
        <v>8</v>
      </c>
      <c r="H65" s="93">
        <f ca="1">F65*G65/1000000</f>
        <v>4.4000000000000002E-4</v>
      </c>
      <c r="I65" s="91">
        <f ca="1">I70/H65</f>
        <v>1136363.6363636362</v>
      </c>
      <c r="J65" s="92">
        <f>C63+D63+40</f>
        <v>40</v>
      </c>
      <c r="K65" s="92">
        <f>E63+D63+40</f>
        <v>40</v>
      </c>
      <c r="L65" s="104"/>
      <c r="N65">
        <f ca="1">IF(((($C$3+$D$3)*2+55)&lt;=2900)*AND($M$3=1),($C$3+$D$3)*2+55,IF(((($C$3+$D$3)*2+55)&gt;=2855),2*F71,($C$3+$D$3)*2+55))</f>
        <v>55</v>
      </c>
    </row>
    <row r="66" spans="1:15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63</v>
      </c>
      <c r="G66" s="87">
        <f>SUM(B72:C72)</f>
        <v>11</v>
      </c>
      <c r="H66" s="93">
        <f ca="1">F66*G66/1000000</f>
        <v>6.9300000000000004E-4</v>
      </c>
      <c r="I66" s="91">
        <f ca="1">I70/H66</f>
        <v>721500.72150072141</v>
      </c>
      <c r="J66" s="92">
        <f>C63+D63+40</f>
        <v>40</v>
      </c>
      <c r="K66" s="92">
        <f>E63+D63+40</f>
        <v>40</v>
      </c>
      <c r="L66" s="104"/>
      <c r="N66">
        <f ca="1">IF(((($C$3+$D$3)*2+59)&lt;=2900)*AND($M$3=1),($C$3+$D$3)*2+59,IF(((($C$3+$D$3)*2+59)&gt;=2855),2*F72,($C$3+$D$3)*2+59))</f>
        <v>59</v>
      </c>
    </row>
    <row r="67" spans="1:15" ht="13.2">
      <c r="A67" s="260"/>
      <c r="E67" t="s">
        <v>35</v>
      </c>
      <c r="L67" s="104"/>
    </row>
    <row r="68" spans="1:15" ht="13.35" customHeight="1">
      <c r="A68" s="260"/>
      <c r="B68" s="263" t="s">
        <v>71</v>
      </c>
      <c r="C68" s="263"/>
      <c r="D68" s="263"/>
      <c r="F68" s="261" t="s">
        <v>58</v>
      </c>
      <c r="G68" s="261"/>
      <c r="H68" s="87" t="s">
        <v>59</v>
      </c>
      <c r="I68" s="264" t="s">
        <v>63</v>
      </c>
      <c r="L68" s="104"/>
    </row>
    <row r="69" spans="1:15" ht="13.2">
      <c r="A69" s="260"/>
      <c r="B69" s="96">
        <f>D63+1</f>
        <v>1</v>
      </c>
      <c r="C69" s="97">
        <f>E63+3</f>
        <v>3</v>
      </c>
      <c r="D69" s="98"/>
      <c r="E69" s="89" t="s">
        <v>72</v>
      </c>
      <c r="F69" s="87">
        <f>C63+D63+51</f>
        <v>51</v>
      </c>
      <c r="G69" s="87">
        <f>SUM(B69:C69)</f>
        <v>4</v>
      </c>
      <c r="H69" s="90">
        <f>((F69*G69)/1000000)*2</f>
        <v>4.08E-4</v>
      </c>
      <c r="I69" s="264"/>
      <c r="L69" s="104"/>
    </row>
    <row r="70" spans="1:15" ht="13.2">
      <c r="A70" s="260"/>
      <c r="B70" s="101">
        <f>D63+2</f>
        <v>2</v>
      </c>
      <c r="C70" s="102">
        <f>E63+4</f>
        <v>4</v>
      </c>
      <c r="D70" s="103"/>
      <c r="E70" s="89" t="s">
        <v>72</v>
      </c>
      <c r="F70" s="87">
        <f>C63+D63+53</f>
        <v>53</v>
      </c>
      <c r="G70" s="87">
        <f>SUM(B70:C70)</f>
        <v>6</v>
      </c>
      <c r="H70" s="90">
        <f>(F70*G70/1000000)*2</f>
        <v>6.3599999999999996E-4</v>
      </c>
      <c r="I70" s="99">
        <v>500</v>
      </c>
      <c r="L70" s="104"/>
    </row>
    <row r="71" spans="1:15" ht="13.2">
      <c r="A71" s="260"/>
      <c r="B71" s="101">
        <f>D63+3</f>
        <v>3</v>
      </c>
      <c r="C71" s="102">
        <f>E63+5</f>
        <v>5</v>
      </c>
      <c r="D71" s="103"/>
      <c r="E71" s="89" t="s">
        <v>72</v>
      </c>
      <c r="F71" s="87">
        <f>C63+D63+55</f>
        <v>55</v>
      </c>
      <c r="G71" s="87">
        <f>SUM(B71:C71)</f>
        <v>8</v>
      </c>
      <c r="H71" s="90">
        <f>(F71*G71/1000000)*2</f>
        <v>8.8000000000000003E-4</v>
      </c>
      <c r="I71" s="6"/>
      <c r="L71" s="104"/>
    </row>
    <row r="72" spans="1:15" ht="13.2">
      <c r="A72" s="260"/>
      <c r="B72" s="101">
        <f>D63+4</f>
        <v>4</v>
      </c>
      <c r="C72" s="102">
        <f>E63+7</f>
        <v>7</v>
      </c>
      <c r="D72" s="103"/>
      <c r="E72" s="89" t="s">
        <v>72</v>
      </c>
      <c r="F72" s="87">
        <f>C63+D63+59</f>
        <v>59</v>
      </c>
      <c r="G72" s="87">
        <f>SUM(B72:C72)</f>
        <v>11</v>
      </c>
      <c r="H72" s="90">
        <f>(F72*G72/1000000)*2</f>
        <v>1.2979999999999999E-3</v>
      </c>
      <c r="I72" s="6"/>
      <c r="L72" s="104"/>
    </row>
    <row r="73" spans="1:15" ht="12.9" customHeight="1">
      <c r="L73" s="104"/>
      <c r="M73" s="265" t="s">
        <v>65</v>
      </c>
    </row>
    <row r="74" spans="1:15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5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47</v>
      </c>
      <c r="G75" s="87">
        <f>SUM(B81:C81)</f>
        <v>4</v>
      </c>
      <c r="H75" s="90">
        <f ca="1">(F75*G75)/1000000</f>
        <v>1.8799999999999999E-4</v>
      </c>
      <c r="I75" s="91">
        <f ca="1">I82/H75</f>
        <v>2659574.4680851065</v>
      </c>
      <c r="J75" s="92">
        <f>C75+D75+20</f>
        <v>20</v>
      </c>
      <c r="K75" s="92">
        <f>E75+D75+20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47</v>
      </c>
      <c r="O75" s="6"/>
    </row>
    <row r="76" spans="1:15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51</v>
      </c>
      <c r="G76" s="87">
        <f>SUM(B82:C82)</f>
        <v>6</v>
      </c>
      <c r="H76" s="93">
        <f ca="1">F76*G76/1000000</f>
        <v>3.0600000000000001E-4</v>
      </c>
      <c r="I76" s="91">
        <f ca="1">I82/H76</f>
        <v>1633986.928104575</v>
      </c>
      <c r="J76" s="92">
        <f>C75+D75+20</f>
        <v>20</v>
      </c>
      <c r="K76" s="92">
        <f>E75+D75+20</f>
        <v>20</v>
      </c>
      <c r="L76" s="104"/>
      <c r="N76">
        <f ca="1">IF(((($C$3+$D$3)*2+51)&lt;=2900)*AND($M$3=1),($C$3+$D$3)*2+51,IF(((($C$3+$D$3)*2+51)&gt;=2855),2*F82,($C$3+$D$3)*2+51))</f>
        <v>51</v>
      </c>
    </row>
    <row r="77" spans="1:15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55</v>
      </c>
      <c r="G77" s="87">
        <f>SUM(B83:C83)</f>
        <v>8</v>
      </c>
      <c r="H77" s="93">
        <f ca="1">F77*G77/1000000</f>
        <v>4.4000000000000002E-4</v>
      </c>
      <c r="I77" s="91">
        <f ca="1">I82/H77</f>
        <v>1136363.6363636362</v>
      </c>
      <c r="J77" s="92">
        <f>C75+D75+40</f>
        <v>40</v>
      </c>
      <c r="K77" s="92">
        <f>E75+D75+40</f>
        <v>40</v>
      </c>
      <c r="L77" s="104"/>
      <c r="N77">
        <f ca="1">IF(((($C$3+$D$3)*2+55)&lt;=2900)*AND($M$3=1),($C$3+$D$3)*2+55,IF(((($C$3+$D$3)*2+55)&gt;=2855),2*F83,($C$3+$D$3)*2+55))</f>
        <v>55</v>
      </c>
    </row>
    <row r="78" spans="1:15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63</v>
      </c>
      <c r="G78" s="87">
        <f>SUM(B84:C84)</f>
        <v>11</v>
      </c>
      <c r="H78" s="93">
        <f ca="1">F78*G78/1000000</f>
        <v>6.9300000000000004E-4</v>
      </c>
      <c r="I78" s="91">
        <f ca="1">I82/H78</f>
        <v>721500.72150072141</v>
      </c>
      <c r="J78" s="92">
        <f>C75+D75+40</f>
        <v>40</v>
      </c>
      <c r="K78" s="92">
        <f>E75+D75+40</f>
        <v>40</v>
      </c>
      <c r="L78" s="104"/>
      <c r="N78">
        <f ca="1">IF(((($C$3+$D$3)*2+59)&lt;=2900)*AND($M$3=1),($C$3+$D$3)*2+59,IF(((($C$3+$D$3)*2+59)&gt;=2855),2*F84,($C$3+$D$3)*2+59))</f>
        <v>59</v>
      </c>
    </row>
    <row r="79" spans="1:15" ht="13.2">
      <c r="A79" s="260"/>
      <c r="E79" t="s">
        <v>35</v>
      </c>
      <c r="L79" s="104"/>
    </row>
    <row r="80" spans="1:15" ht="13.35" customHeight="1">
      <c r="A80" s="260"/>
      <c r="B80" s="263" t="s">
        <v>71</v>
      </c>
      <c r="C80" s="263"/>
      <c r="D80" s="263"/>
      <c r="F80" s="261" t="s">
        <v>58</v>
      </c>
      <c r="G80" s="261"/>
      <c r="H80" s="87" t="s">
        <v>59</v>
      </c>
      <c r="I80" s="264" t="s">
        <v>63</v>
      </c>
      <c r="L80" s="104"/>
    </row>
    <row r="81" spans="1:15" ht="13.2">
      <c r="A81" s="260"/>
      <c r="B81" s="96">
        <f>D75+1</f>
        <v>1</v>
      </c>
      <c r="C81" s="97">
        <f>E75+3</f>
        <v>3</v>
      </c>
      <c r="D81" s="98"/>
      <c r="E81" s="89" t="s">
        <v>72</v>
      </c>
      <c r="F81" s="87">
        <f>C75+D75+51</f>
        <v>51</v>
      </c>
      <c r="G81" s="87">
        <f>SUM(B81:C81)</f>
        <v>4</v>
      </c>
      <c r="H81" s="90">
        <f>((F81*G81)/1000000)*2</f>
        <v>4.08E-4</v>
      </c>
      <c r="I81" s="264"/>
      <c r="L81" s="104"/>
    </row>
    <row r="82" spans="1:15" ht="13.2">
      <c r="A82" s="260"/>
      <c r="B82" s="101">
        <f>D75+2</f>
        <v>2</v>
      </c>
      <c r="C82" s="102">
        <f>E75+4</f>
        <v>4</v>
      </c>
      <c r="D82" s="103"/>
      <c r="E82" s="89" t="s">
        <v>72</v>
      </c>
      <c r="F82" s="87">
        <f>C75+D75+53</f>
        <v>53</v>
      </c>
      <c r="G82" s="87">
        <f>SUM(B82:C82)</f>
        <v>6</v>
      </c>
      <c r="H82" s="90">
        <f>(F82*G82/1000000)*2</f>
        <v>6.3599999999999996E-4</v>
      </c>
      <c r="I82" s="99">
        <v>500</v>
      </c>
      <c r="L82" s="104"/>
    </row>
    <row r="83" spans="1:15" ht="13.2">
      <c r="A83" s="260"/>
      <c r="B83" s="101">
        <f>D75+3</f>
        <v>3</v>
      </c>
      <c r="C83" s="102">
        <f>E75+5</f>
        <v>5</v>
      </c>
      <c r="D83" s="103"/>
      <c r="E83" s="89" t="s">
        <v>72</v>
      </c>
      <c r="F83" s="87">
        <f>C75+D75+55</f>
        <v>55</v>
      </c>
      <c r="G83" s="87">
        <f>SUM(B83:C83)</f>
        <v>8</v>
      </c>
      <c r="H83" s="90">
        <f>(F83*G83/1000000)*2</f>
        <v>8.8000000000000003E-4</v>
      </c>
      <c r="I83" s="6"/>
      <c r="L83" s="104"/>
    </row>
    <row r="84" spans="1:15" ht="13.2">
      <c r="A84" s="260"/>
      <c r="B84" s="101">
        <f>D75+4</f>
        <v>4</v>
      </c>
      <c r="C84" s="102">
        <f>E75+7</f>
        <v>7</v>
      </c>
      <c r="D84" s="103"/>
      <c r="E84" s="89" t="s">
        <v>72</v>
      </c>
      <c r="F84" s="87">
        <f>C75+D75+59</f>
        <v>59</v>
      </c>
      <c r="G84" s="87">
        <f>SUM(B84:C84)</f>
        <v>11</v>
      </c>
      <c r="H84" s="90">
        <f>(F84*G84/1000000)*2</f>
        <v>1.2979999999999999E-3</v>
      </c>
      <c r="I84" s="6"/>
      <c r="L84" s="104"/>
    </row>
    <row r="85" spans="1:15" ht="12.9" customHeight="1">
      <c r="L85" s="104"/>
      <c r="M85" s="265" t="s">
        <v>65</v>
      </c>
    </row>
    <row r="86" spans="1:15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5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47</v>
      </c>
      <c r="G87" s="87">
        <f>SUM(B93:C93)</f>
        <v>4</v>
      </c>
      <c r="H87" s="90">
        <f ca="1">(F87*G87)/1000000</f>
        <v>1.8799999999999999E-4</v>
      </c>
      <c r="I87" s="91">
        <f ca="1">I94/H87</f>
        <v>2659574.4680851065</v>
      </c>
      <c r="J87" s="92">
        <f>C87+D87+20</f>
        <v>20</v>
      </c>
      <c r="K87" s="92">
        <f>E87+D87+20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47</v>
      </c>
      <c r="O87" s="6"/>
    </row>
    <row r="88" spans="1:15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51</v>
      </c>
      <c r="G88" s="87">
        <f>SUM(B94:C94)</f>
        <v>6</v>
      </c>
      <c r="H88" s="93">
        <f ca="1">F88*G88/1000000</f>
        <v>3.0600000000000001E-4</v>
      </c>
      <c r="I88" s="91">
        <f ca="1">I94/H88</f>
        <v>1633986.928104575</v>
      </c>
      <c r="J88" s="92">
        <f>C87+D87+20</f>
        <v>20</v>
      </c>
      <c r="K88" s="92">
        <f>E87+D87+20</f>
        <v>20</v>
      </c>
      <c r="L88" s="104"/>
      <c r="N88">
        <f ca="1">IF(((($C$3+$D$3)*2+51)&lt;=2900)*AND($M$3=1),($C$3+$D$3)*2+51,IF(((($C$3+$D$3)*2+51)&gt;=2855),2*F94,($C$3+$D$3)*2+51))</f>
        <v>51</v>
      </c>
    </row>
    <row r="89" spans="1:15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55</v>
      </c>
      <c r="G89" s="87">
        <f>SUM(B95:C95)</f>
        <v>8</v>
      </c>
      <c r="H89" s="93">
        <f ca="1">F89*G89/1000000</f>
        <v>4.4000000000000002E-4</v>
      </c>
      <c r="I89" s="91">
        <f ca="1">I94/H89</f>
        <v>1136363.6363636362</v>
      </c>
      <c r="J89" s="92">
        <f>C87+D87+40</f>
        <v>40</v>
      </c>
      <c r="K89" s="92">
        <f>E87+D87+40</f>
        <v>40</v>
      </c>
      <c r="L89" s="104"/>
      <c r="N89">
        <f ca="1">IF(((($C$3+$D$3)*2+55)&lt;=2900)*AND($M$3=1),($C$3+$D$3)*2+55,IF(((($C$3+$D$3)*2+55)&gt;=2855),2*F95,($C$3+$D$3)*2+55))</f>
        <v>55</v>
      </c>
    </row>
    <row r="90" spans="1:15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63</v>
      </c>
      <c r="G90" s="87">
        <f>SUM(B96:C96)</f>
        <v>11</v>
      </c>
      <c r="H90" s="93">
        <f ca="1">F90*G90/1000000</f>
        <v>6.9300000000000004E-4</v>
      </c>
      <c r="I90" s="91">
        <f ca="1">I94/H90</f>
        <v>721500.72150072141</v>
      </c>
      <c r="J90" s="92">
        <f>C87+D87+40</f>
        <v>40</v>
      </c>
      <c r="K90" s="92">
        <f>E87+D87+40</f>
        <v>40</v>
      </c>
      <c r="L90" s="104"/>
      <c r="N90">
        <f ca="1">IF(((($C$3+$D$3)*2+59)&lt;=2900)*AND($M$3=1),($C$3+$D$3)*2+59,IF(((($C$3+$D$3)*2+59)&gt;=2855),2*F96,($C$3+$D$3)*2+59))</f>
        <v>59</v>
      </c>
    </row>
    <row r="91" spans="1:15" ht="13.2">
      <c r="A91" s="260"/>
      <c r="E91" t="s">
        <v>35</v>
      </c>
      <c r="L91" s="104"/>
    </row>
    <row r="92" spans="1:15" ht="13.35" customHeight="1">
      <c r="A92" s="260"/>
      <c r="B92" s="263" t="s">
        <v>71</v>
      </c>
      <c r="C92" s="263"/>
      <c r="D92" s="263"/>
      <c r="F92" s="261" t="s">
        <v>58</v>
      </c>
      <c r="G92" s="261"/>
      <c r="H92" s="87" t="s">
        <v>59</v>
      </c>
      <c r="I92" s="264" t="s">
        <v>63</v>
      </c>
      <c r="L92" s="104"/>
    </row>
    <row r="93" spans="1:15" ht="13.2">
      <c r="A93" s="260"/>
      <c r="B93" s="96">
        <f>D87+1</f>
        <v>1</v>
      </c>
      <c r="C93" s="97">
        <f>E87+3</f>
        <v>3</v>
      </c>
      <c r="D93" s="98"/>
      <c r="E93" s="89" t="s">
        <v>72</v>
      </c>
      <c r="F93" s="87">
        <f>C87+D87+51</f>
        <v>51</v>
      </c>
      <c r="G93" s="87">
        <f>SUM(B93:C93)</f>
        <v>4</v>
      </c>
      <c r="H93" s="90">
        <f>((F93*G93)/1000000)*2</f>
        <v>4.08E-4</v>
      </c>
      <c r="I93" s="264"/>
      <c r="L93" s="104"/>
    </row>
    <row r="94" spans="1:15" ht="13.2">
      <c r="A94" s="260"/>
      <c r="B94" s="101">
        <f>D87+2</f>
        <v>2</v>
      </c>
      <c r="C94" s="102">
        <f>E87+4</f>
        <v>4</v>
      </c>
      <c r="D94" s="103"/>
      <c r="E94" s="89" t="s">
        <v>72</v>
      </c>
      <c r="F94" s="87">
        <f>C87+D87+53</f>
        <v>53</v>
      </c>
      <c r="G94" s="87">
        <f>SUM(B94:C94)</f>
        <v>6</v>
      </c>
      <c r="H94" s="90">
        <f>(F94*G94/1000000)*2</f>
        <v>6.3599999999999996E-4</v>
      </c>
      <c r="I94" s="99">
        <v>500</v>
      </c>
      <c r="L94" s="104"/>
    </row>
    <row r="95" spans="1:15" ht="13.2">
      <c r="A95" s="260"/>
      <c r="B95" s="101">
        <f>D87+3</f>
        <v>3</v>
      </c>
      <c r="C95" s="102">
        <f>E87+5</f>
        <v>5</v>
      </c>
      <c r="D95" s="103"/>
      <c r="E95" s="89" t="s">
        <v>72</v>
      </c>
      <c r="F95" s="87">
        <f>C87+D87+55</f>
        <v>55</v>
      </c>
      <c r="G95" s="87">
        <f>SUM(B95:C95)</f>
        <v>8</v>
      </c>
      <c r="H95" s="90">
        <f>(F95*G95/1000000)*2</f>
        <v>8.8000000000000003E-4</v>
      </c>
      <c r="I95" s="6"/>
      <c r="L95" s="104"/>
    </row>
    <row r="96" spans="1:15" ht="13.2">
      <c r="A96" s="260"/>
      <c r="B96" s="101">
        <f>D87+4</f>
        <v>4</v>
      </c>
      <c r="C96" s="102">
        <f>E87+7</f>
        <v>7</v>
      </c>
      <c r="D96" s="103"/>
      <c r="E96" s="89" t="s">
        <v>72</v>
      </c>
      <c r="F96" s="87">
        <f>C87+D87+59</f>
        <v>59</v>
      </c>
      <c r="G96" s="87">
        <f>SUM(B96:C96)</f>
        <v>11</v>
      </c>
      <c r="H96" s="90">
        <f>(F96*G96/1000000)*2</f>
        <v>1.2979999999999999E-3</v>
      </c>
      <c r="I96" s="6"/>
      <c r="L96" s="104"/>
    </row>
    <row r="97" spans="1:15" ht="12.9" customHeight="1">
      <c r="L97" s="104"/>
      <c r="M97" s="265" t="s">
        <v>65</v>
      </c>
    </row>
    <row r="98" spans="1:15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5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47</v>
      </c>
      <c r="G99" s="87">
        <f>SUM(B105:C105)</f>
        <v>4</v>
      </c>
      <c r="H99" s="90">
        <f ca="1">(F99*G99)/1000000</f>
        <v>1.8799999999999999E-4</v>
      </c>
      <c r="I99" s="91">
        <f ca="1">I106/H99</f>
        <v>2659574.4680851065</v>
      </c>
      <c r="J99" s="92">
        <f>C99+D99+20</f>
        <v>20</v>
      </c>
      <c r="K99" s="92">
        <f>E99+D99+20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47</v>
      </c>
      <c r="O99" s="6"/>
    </row>
    <row r="100" spans="1:15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51</v>
      </c>
      <c r="G100" s="87">
        <f>SUM(B106:C106)</f>
        <v>6</v>
      </c>
      <c r="H100" s="93">
        <f ca="1">F100*G100/1000000</f>
        <v>3.0600000000000001E-4</v>
      </c>
      <c r="I100" s="91">
        <f ca="1">I106/H100</f>
        <v>1633986.928104575</v>
      </c>
      <c r="J100" s="92">
        <f>C99+D99+20</f>
        <v>20</v>
      </c>
      <c r="K100" s="92">
        <f>E99+D99+20</f>
        <v>20</v>
      </c>
      <c r="L100" s="104"/>
      <c r="N100">
        <f ca="1">IF(((($C$3+$D$3)*2+51)&lt;=2900)*AND($M$3=1),($C$3+$D$3)*2+51,IF(((($C$3+$D$3)*2+51)&gt;=2855),2*F106,($C$3+$D$3)*2+51))</f>
        <v>51</v>
      </c>
    </row>
    <row r="101" spans="1:15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55</v>
      </c>
      <c r="G101" s="87">
        <f>SUM(B107:C107)</f>
        <v>8</v>
      </c>
      <c r="H101" s="93">
        <f ca="1">F101*G101/1000000</f>
        <v>4.4000000000000002E-4</v>
      </c>
      <c r="I101" s="91">
        <f ca="1">I106/H101</f>
        <v>1136363.6363636362</v>
      </c>
      <c r="J101" s="92">
        <f>C99+D99+40</f>
        <v>40</v>
      </c>
      <c r="K101" s="92">
        <f>E99+D99+40</f>
        <v>40</v>
      </c>
      <c r="L101" s="104"/>
      <c r="N101">
        <f ca="1">IF(((($C$3+$D$3)*2+55)&lt;=2900)*AND($M$3=1),($C$3+$D$3)*2+55,IF(((($C$3+$D$3)*2+55)&gt;=2855),2*F107,($C$3+$D$3)*2+55))</f>
        <v>55</v>
      </c>
    </row>
    <row r="102" spans="1:15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63</v>
      </c>
      <c r="G102" s="87">
        <f>SUM(B108:C108)</f>
        <v>11</v>
      </c>
      <c r="H102" s="93">
        <f ca="1">F102*G102/1000000</f>
        <v>6.9300000000000004E-4</v>
      </c>
      <c r="I102" s="91">
        <f ca="1">I106/H102</f>
        <v>721500.72150072141</v>
      </c>
      <c r="J102" s="92">
        <f>C99+D99+40</f>
        <v>40</v>
      </c>
      <c r="K102" s="92">
        <f>E99+D99+40</f>
        <v>40</v>
      </c>
      <c r="L102" s="104"/>
      <c r="N102">
        <f ca="1">IF(((($C$3+$D$3)*2+59)&lt;=2900)*AND($M$3=1),($C$3+$D$3)*2+59,IF(((($C$3+$D$3)*2+59)&gt;=2855),2*F108,($C$3+$D$3)*2+59))</f>
        <v>59</v>
      </c>
    </row>
    <row r="103" spans="1:15" ht="13.2">
      <c r="A103" s="260"/>
      <c r="E103" t="s">
        <v>35</v>
      </c>
      <c r="L103" s="104"/>
    </row>
    <row r="104" spans="1:15" ht="13.35" customHeight="1">
      <c r="A104" s="260"/>
      <c r="B104" s="263" t="s">
        <v>71</v>
      </c>
      <c r="C104" s="263"/>
      <c r="D104" s="263"/>
      <c r="F104" s="261" t="s">
        <v>58</v>
      </c>
      <c r="G104" s="261"/>
      <c r="H104" s="87" t="s">
        <v>59</v>
      </c>
      <c r="I104" s="264" t="s">
        <v>63</v>
      </c>
      <c r="L104" s="104"/>
    </row>
    <row r="105" spans="1:15" ht="13.2">
      <c r="A105" s="260"/>
      <c r="B105" s="96">
        <f>D99+1</f>
        <v>1</v>
      </c>
      <c r="C105" s="97">
        <f>E99+3</f>
        <v>3</v>
      </c>
      <c r="D105" s="98"/>
      <c r="E105" s="89" t="s">
        <v>72</v>
      </c>
      <c r="F105" s="87">
        <f>C99+D99+51</f>
        <v>51</v>
      </c>
      <c r="G105" s="87">
        <f>SUM(B105:C105)</f>
        <v>4</v>
      </c>
      <c r="H105" s="90">
        <f>((F105*G105)/1000000)*2</f>
        <v>4.08E-4</v>
      </c>
      <c r="I105" s="264"/>
      <c r="L105" s="104"/>
    </row>
    <row r="106" spans="1:15" ht="13.2">
      <c r="A106" s="260"/>
      <c r="B106" s="101">
        <f>D99+2</f>
        <v>2</v>
      </c>
      <c r="C106" s="102">
        <f>E99+4</f>
        <v>4</v>
      </c>
      <c r="D106" s="103"/>
      <c r="E106" s="89" t="s">
        <v>72</v>
      </c>
      <c r="F106" s="87">
        <f>C99+D99+53</f>
        <v>53</v>
      </c>
      <c r="G106" s="87">
        <f>SUM(B106:C106)</f>
        <v>6</v>
      </c>
      <c r="H106" s="90">
        <f>(F106*G106/1000000)*2</f>
        <v>6.3599999999999996E-4</v>
      </c>
      <c r="I106" s="99">
        <v>500</v>
      </c>
      <c r="L106" s="104"/>
    </row>
    <row r="107" spans="1:15" ht="13.2">
      <c r="A107" s="260"/>
      <c r="B107" s="101">
        <f>D99+3</f>
        <v>3</v>
      </c>
      <c r="C107" s="102">
        <f>E99+5</f>
        <v>5</v>
      </c>
      <c r="D107" s="103"/>
      <c r="E107" s="89" t="s">
        <v>72</v>
      </c>
      <c r="F107" s="87">
        <f>C99+D99+55</f>
        <v>55</v>
      </c>
      <c r="G107" s="87">
        <f>SUM(B107:C107)</f>
        <v>8</v>
      </c>
      <c r="H107" s="90">
        <f>(F107*G107/1000000)*2</f>
        <v>8.8000000000000003E-4</v>
      </c>
      <c r="I107" s="6"/>
      <c r="L107" s="104"/>
    </row>
    <row r="108" spans="1:15" ht="13.2">
      <c r="A108" s="260"/>
      <c r="B108" s="101">
        <f>D99+4</f>
        <v>4</v>
      </c>
      <c r="C108" s="102">
        <f>E99+7</f>
        <v>7</v>
      </c>
      <c r="D108" s="103"/>
      <c r="E108" s="89" t="s">
        <v>72</v>
      </c>
      <c r="F108" s="87">
        <f>C99+D99+59</f>
        <v>59</v>
      </c>
      <c r="G108" s="87">
        <f>SUM(B108:C108)</f>
        <v>11</v>
      </c>
      <c r="H108" s="90">
        <f>(F108*G108/1000000)*2</f>
        <v>1.2979999999999999E-3</v>
      </c>
      <c r="I108" s="6"/>
      <c r="L108" s="104"/>
    </row>
    <row r="109" spans="1:15" ht="12.9" customHeight="1">
      <c r="L109" s="104"/>
      <c r="M109" s="265" t="s">
        <v>65</v>
      </c>
    </row>
    <row r="110" spans="1:15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5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47</v>
      </c>
      <c r="G111" s="87">
        <f>SUM(B117:C117)</f>
        <v>4</v>
      </c>
      <c r="H111" s="90">
        <f ca="1">(F111*G111)/1000000</f>
        <v>1.8799999999999999E-4</v>
      </c>
      <c r="I111" s="91">
        <f ca="1">I118/H111</f>
        <v>2659574.4680851065</v>
      </c>
      <c r="J111" s="92">
        <f>C111+D111+20</f>
        <v>20</v>
      </c>
      <c r="K111" s="92">
        <f>E111+D111+20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47</v>
      </c>
      <c r="O111" s="6"/>
    </row>
    <row r="112" spans="1:15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51</v>
      </c>
      <c r="G112" s="87">
        <f>SUM(B118:C118)</f>
        <v>6</v>
      </c>
      <c r="H112" s="93">
        <f ca="1">F112*G112/1000000</f>
        <v>3.0600000000000001E-4</v>
      </c>
      <c r="I112" s="91">
        <f ca="1">I118/H112</f>
        <v>1633986.928104575</v>
      </c>
      <c r="J112" s="92">
        <f>C111+D111+20</f>
        <v>20</v>
      </c>
      <c r="K112" s="92">
        <f>E111+D111+20</f>
        <v>20</v>
      </c>
      <c r="L112" s="104"/>
      <c r="N112">
        <f ca="1">IF(((($C$3+$D$3)*2+51)&lt;=2900)*AND($M$3=1),($C$3+$D$3)*2+51,IF(((($C$3+$D$3)*2+51)&gt;=2855),2*F118,($C$3+$D$3)*2+51))</f>
        <v>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55</v>
      </c>
      <c r="G113" s="87">
        <f>SUM(B119:C119)</f>
        <v>8</v>
      </c>
      <c r="H113" s="93">
        <f ca="1">F113*G113/1000000</f>
        <v>4.4000000000000002E-4</v>
      </c>
      <c r="I113" s="91">
        <f ca="1">I118/H113</f>
        <v>1136363.6363636362</v>
      </c>
      <c r="J113" s="92">
        <f>C111+D111+40</f>
        <v>40</v>
      </c>
      <c r="K113" s="92">
        <f>E111+D111+40</f>
        <v>40</v>
      </c>
      <c r="L113" s="104"/>
      <c r="N113">
        <f ca="1">IF(((($C$3+$D$3)*2+55)&lt;=2900)*AND($M$3=1),($C$3+$D$3)*2+55,IF(((($C$3+$D$3)*2+55)&gt;=2855),2*F119,($C$3+$D$3)*2+55))</f>
        <v>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63</v>
      </c>
      <c r="G114" s="87">
        <f>SUM(B120:C120)</f>
        <v>11</v>
      </c>
      <c r="H114" s="93">
        <f ca="1">F114*G114/1000000</f>
        <v>6.9300000000000004E-4</v>
      </c>
      <c r="I114" s="91">
        <f ca="1">I118/H114</f>
        <v>721500.72150072141</v>
      </c>
      <c r="J114" s="92">
        <f>C111+D111+40</f>
        <v>40</v>
      </c>
      <c r="K114" s="92">
        <f>E111+D111+40</f>
        <v>40</v>
      </c>
      <c r="L114" s="104"/>
      <c r="N114">
        <f ca="1">IF(((($C$3+$D$3)*2+59)&lt;=2900)*AND($M$3=1),($C$3+$D$3)*2+59,IF(((($C$3+$D$3)*2+59)&gt;=2855),2*F120,($C$3+$D$3)*2+59))</f>
        <v>59</v>
      </c>
    </row>
    <row r="115" spans="1:14" ht="13.2">
      <c r="A115" s="260"/>
      <c r="E115" t="s">
        <v>35</v>
      </c>
      <c r="L115" s="104"/>
    </row>
    <row r="116" spans="1:14" ht="13.35" customHeight="1">
      <c r="A116" s="260"/>
      <c r="B116" s="263" t="s">
        <v>71</v>
      </c>
      <c r="C116" s="263"/>
      <c r="D116" s="263"/>
      <c r="F116" s="261" t="s">
        <v>58</v>
      </c>
      <c r="G116" s="261"/>
      <c r="H116" s="87" t="s">
        <v>59</v>
      </c>
      <c r="I116" s="264" t="s">
        <v>63</v>
      </c>
      <c r="L116" s="104"/>
    </row>
    <row r="117" spans="1:14" ht="13.2">
      <c r="A117" s="260"/>
      <c r="B117" s="96">
        <f>D111+1</f>
        <v>1</v>
      </c>
      <c r="C117" s="97">
        <f>E111+3</f>
        <v>3</v>
      </c>
      <c r="D117" s="98"/>
      <c r="E117" s="89" t="s">
        <v>72</v>
      </c>
      <c r="F117" s="87">
        <f>C111+D111+51</f>
        <v>51</v>
      </c>
      <c r="G117" s="87">
        <f>SUM(B117:C117)</f>
        <v>4</v>
      </c>
      <c r="H117" s="90">
        <f>((F117*G117)/1000000)*2</f>
        <v>4.08E-4</v>
      </c>
      <c r="I117" s="264"/>
      <c r="L117" s="104"/>
    </row>
    <row r="118" spans="1:14" ht="13.2">
      <c r="A118" s="260"/>
      <c r="B118" s="101">
        <f>D111+2</f>
        <v>2</v>
      </c>
      <c r="C118" s="102">
        <f>E111+4</f>
        <v>4</v>
      </c>
      <c r="D118" s="103"/>
      <c r="E118" s="89" t="s">
        <v>72</v>
      </c>
      <c r="F118" s="87">
        <f>C111+D111+53</f>
        <v>53</v>
      </c>
      <c r="G118" s="87">
        <f>SUM(B118:C118)</f>
        <v>6</v>
      </c>
      <c r="H118" s="90">
        <f>(F118*G118/1000000)*2</f>
        <v>6.3599999999999996E-4</v>
      </c>
      <c r="I118" s="99">
        <v>500</v>
      </c>
      <c r="L118" s="104"/>
    </row>
    <row r="119" spans="1:14" ht="13.2">
      <c r="A119" s="260"/>
      <c r="B119" s="101">
        <f>D111+3</f>
        <v>3</v>
      </c>
      <c r="C119" s="102">
        <f>E111+5</f>
        <v>5</v>
      </c>
      <c r="D119" s="103"/>
      <c r="E119" s="89" t="s">
        <v>72</v>
      </c>
      <c r="F119" s="87">
        <f>C111+D111+55</f>
        <v>55</v>
      </c>
      <c r="G119" s="87">
        <f>SUM(B119:C119)</f>
        <v>8</v>
      </c>
      <c r="H119" s="90">
        <f>(F119*G119/1000000)*2</f>
        <v>8.8000000000000003E-4</v>
      </c>
      <c r="I119" s="6"/>
      <c r="L119" s="104"/>
    </row>
    <row r="120" spans="1:14" ht="13.2">
      <c r="A120" s="260"/>
      <c r="B120" s="101">
        <f>D111+4</f>
        <v>4</v>
      </c>
      <c r="C120" s="102">
        <f>E111+7</f>
        <v>7</v>
      </c>
      <c r="D120" s="103"/>
      <c r="E120" s="89" t="s">
        <v>72</v>
      </c>
      <c r="F120" s="87">
        <f>C111+D111+59</f>
        <v>59</v>
      </c>
      <c r="G120" s="87">
        <f>SUM(B120:C120)</f>
        <v>11</v>
      </c>
      <c r="H120" s="90">
        <f>(F120*G120/1000000)*2</f>
        <v>1.2979999999999999E-3</v>
      </c>
      <c r="I120" s="6"/>
      <c r="L120" s="106"/>
    </row>
  </sheetData>
  <mergeCells count="72">
    <mergeCell ref="L1:L2"/>
    <mergeCell ref="M1:M2"/>
    <mergeCell ref="P1:Q1"/>
    <mergeCell ref="A2:A12"/>
    <mergeCell ref="F2:G2"/>
    <mergeCell ref="J2:K2"/>
    <mergeCell ref="B8:D8"/>
    <mergeCell ref="F8:G8"/>
    <mergeCell ref="I8:I9"/>
    <mergeCell ref="M13:M14"/>
    <mergeCell ref="A14:A24"/>
    <mergeCell ref="F14:G14"/>
    <mergeCell ref="J14:K14"/>
    <mergeCell ref="B20:D20"/>
    <mergeCell ref="F20:G20"/>
    <mergeCell ref="I20:I21"/>
    <mergeCell ref="M25:M26"/>
    <mergeCell ref="A26:A36"/>
    <mergeCell ref="F26:G26"/>
    <mergeCell ref="J26:K26"/>
    <mergeCell ref="B32:D32"/>
    <mergeCell ref="F32:G32"/>
    <mergeCell ref="I32:I33"/>
    <mergeCell ref="M37:M38"/>
    <mergeCell ref="A38:A48"/>
    <mergeCell ref="F38:G38"/>
    <mergeCell ref="J38:K38"/>
    <mergeCell ref="B44:D44"/>
    <mergeCell ref="F44:G44"/>
    <mergeCell ref="I44:I45"/>
    <mergeCell ref="M49:M50"/>
    <mergeCell ref="A50:A60"/>
    <mergeCell ref="F50:G50"/>
    <mergeCell ref="J50:K50"/>
    <mergeCell ref="B56:D56"/>
    <mergeCell ref="F56:G56"/>
    <mergeCell ref="I56:I57"/>
    <mergeCell ref="M61:M62"/>
    <mergeCell ref="A62:A72"/>
    <mergeCell ref="F62:G62"/>
    <mergeCell ref="J62:K62"/>
    <mergeCell ref="B68:D68"/>
    <mergeCell ref="F68:G68"/>
    <mergeCell ref="I68:I69"/>
    <mergeCell ref="M73:M74"/>
    <mergeCell ref="A74:A84"/>
    <mergeCell ref="F74:G74"/>
    <mergeCell ref="J74:K74"/>
    <mergeCell ref="B80:D80"/>
    <mergeCell ref="F80:G80"/>
    <mergeCell ref="I80:I81"/>
    <mergeCell ref="M85:M86"/>
    <mergeCell ref="A86:A96"/>
    <mergeCell ref="F86:G86"/>
    <mergeCell ref="J86:K86"/>
    <mergeCell ref="B92:D92"/>
    <mergeCell ref="F92:G92"/>
    <mergeCell ref="I92:I93"/>
    <mergeCell ref="M97:M98"/>
    <mergeCell ref="A98:A108"/>
    <mergeCell ref="F98:G98"/>
    <mergeCell ref="J98:K98"/>
    <mergeCell ref="B104:D104"/>
    <mergeCell ref="F104:G104"/>
    <mergeCell ref="I104:I105"/>
    <mergeCell ref="M109:M110"/>
    <mergeCell ref="A110:A120"/>
    <mergeCell ref="F110:G110"/>
    <mergeCell ref="J110:K110"/>
    <mergeCell ref="B116:D116"/>
    <mergeCell ref="F116:G116"/>
    <mergeCell ref="I116:I117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C000"/>
    <pageSetUpPr fitToPage="1"/>
  </sheetPr>
  <dimension ref="A1:N120"/>
  <sheetViews>
    <sheetView zoomScale="74" zoomScaleNormal="74" workbookViewId="0">
      <selection activeCell="P38" sqref="P38"/>
    </sheetView>
  </sheetViews>
  <sheetFormatPr defaultColWidth="11.5546875" defaultRowHeight="12.75" customHeight="1"/>
  <sheetData>
    <row r="1" spans="1:14" ht="12.9" customHeight="1">
      <c r="L1" s="265" t="s">
        <v>64</v>
      </c>
      <c r="M1" s="265" t="s">
        <v>65</v>
      </c>
    </row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  <c r="L2" s="265"/>
      <c r="M2" s="265"/>
    </row>
    <row r="3" spans="1:14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 ca="1">IF(((($C$3+$D$3)*2+47)&lt;=2900)*AND($M$3=1),($C$3+$D$3)*2+47,IF(((($C$3+$D$3)*2+47)&gt;=2855),2*F9,($C$3+$D$3)*2+47))</f>
        <v>47</v>
      </c>
      <c r="G3" s="87">
        <f>SUM(B9:D9)</f>
        <v>8</v>
      </c>
      <c r="H3" s="90">
        <f ca="1">(F3*G3)/1000000</f>
        <v>3.7599999999999998E-4</v>
      </c>
      <c r="I3" s="91">
        <f ca="1">I10/H3</f>
        <v>1329787.2340425532</v>
      </c>
      <c r="J3" s="92">
        <f>C3+D3+20</f>
        <v>20</v>
      </c>
      <c r="K3" s="92">
        <f>(D3/2)+D3+E3+20</f>
        <v>20</v>
      </c>
      <c r="L3" s="88">
        <f>IF((E3+D3/2)&lt;1590,1,0)</f>
        <v>1</v>
      </c>
      <c r="M3" s="88">
        <f ca="1">TEXO!G8</f>
        <v>0</v>
      </c>
      <c r="N3">
        <f ca="1">IF(((($C$3+$D$3)*2+47)&lt;=2900)*AND($M$3=1),($C$3+$D$3)*2+47,IF(((($C$3+$D$3)*2+47)&gt;=2855),2*F9,($C$3+$D$3)*2+47))</f>
        <v>47</v>
      </c>
    </row>
    <row r="4" spans="1:14" ht="13.2">
      <c r="A4" s="260"/>
      <c r="B4" s="89" t="s">
        <v>68</v>
      </c>
      <c r="C4" s="6"/>
      <c r="D4" s="6"/>
      <c r="E4" s="6"/>
      <c r="F4" s="87">
        <f ca="1">IF(((($C$3+$D$3)*2+51)&lt;=2900)*AND($M$3=1),($C$3+$D$3)*2+51,IF(((($C$3+$D$3)*2+51)&gt;=2855),2*F10,($C$3+$D$3)*2+51))</f>
        <v>51</v>
      </c>
      <c r="G4" s="87">
        <f>SUM(B10:D10)</f>
        <v>12</v>
      </c>
      <c r="H4" s="93">
        <f ca="1">F4*G4/1000000</f>
        <v>6.1200000000000002E-4</v>
      </c>
      <c r="I4" s="91">
        <f ca="1">I10/H4</f>
        <v>816993.46405228751</v>
      </c>
      <c r="J4" s="92">
        <f>C3+D3+20</f>
        <v>20</v>
      </c>
      <c r="K4" s="92">
        <f>(D3/2)+D3+E3+20</f>
        <v>20</v>
      </c>
      <c r="L4" s="104"/>
      <c r="M4" s="105"/>
      <c r="N4">
        <f ca="1">IF(((($C$3+$D$3)*2+51)&lt;=2900)*AND($M$3=1),($C$3+$D$3)*2+51,IF(((($C$3+$D$3)*2+51)&gt;=2855),2*F10,($C$3+$D$3)*2+51))</f>
        <v>51</v>
      </c>
    </row>
    <row r="5" spans="1:14" ht="13.2">
      <c r="A5" s="260"/>
      <c r="B5" s="89" t="s">
        <v>69</v>
      </c>
      <c r="C5" s="6"/>
      <c r="D5" s="6"/>
      <c r="E5" s="6"/>
      <c r="F5" s="87">
        <f ca="1">IF(((($C$3+$D$3)*2+55)&lt;=2900)*AND($M$3=1),($C$3+$D$3)*2+55,IF(((($C$3+$D$3)*2+55)&gt;=2855),2*F11,($C$3+$D$3)*2+55))</f>
        <v>55</v>
      </c>
      <c r="G5" s="87">
        <f>SUM(B11:D11)</f>
        <v>16</v>
      </c>
      <c r="H5" s="93">
        <f ca="1">F5*G5/1000000</f>
        <v>8.8000000000000003E-4</v>
      </c>
      <c r="I5" s="91">
        <f ca="1">I10/H5</f>
        <v>568181.81818181812</v>
      </c>
      <c r="J5" s="92">
        <f>C3+D3+40</f>
        <v>40</v>
      </c>
      <c r="K5" s="92">
        <f>(D3/2)+D3+E3+40</f>
        <v>40</v>
      </c>
      <c r="L5" s="104"/>
      <c r="N5">
        <f ca="1">IF(((($C$3+$D$3)*2+55)&lt;=2900)*AND($M$3=1),($C$3+$D$3)*2+55,IF(((($C$3+$D$3)*2+55)&gt;=2855),2*F11,($C$3+$D$3)*2+55))</f>
        <v>55</v>
      </c>
    </row>
    <row r="6" spans="1:14" ht="13.2">
      <c r="A6" s="260"/>
      <c r="B6" s="89" t="s">
        <v>70</v>
      </c>
      <c r="C6" s="6"/>
      <c r="D6" s="6"/>
      <c r="E6" s="6"/>
      <c r="F6" s="87">
        <f ca="1">IF(((($C$3+$D$3)*2+63)&lt;=2900)*AND($M$3=1),($C$3+$D$3)*2+63,IF(((($C$3+$D$3)*2+63)&gt;=2855),2*F12,($C$3+$D$3)*2+63))</f>
        <v>63</v>
      </c>
      <c r="G6" s="87">
        <f>SUM(B12:D12)</f>
        <v>22</v>
      </c>
      <c r="H6" s="93">
        <f ca="1">F6*G6/1000000</f>
        <v>1.3860000000000001E-3</v>
      </c>
      <c r="I6" s="91">
        <f ca="1">I10/H6</f>
        <v>360750.36075036071</v>
      </c>
      <c r="J6" s="92">
        <f>C3+D3+40</f>
        <v>40</v>
      </c>
      <c r="K6" s="92">
        <f>(D3/2)+D3+E3+40</f>
        <v>40</v>
      </c>
      <c r="L6" s="104"/>
      <c r="M6" s="6"/>
      <c r="N6">
        <f ca="1">IF(((($C$3+$D$3)*2+59)&lt;=2900)*AND($M$3=1),($C$3+$D$3)*2+59,IF(((($C$3+$D$3)*2+59)&gt;=2855),2*F12,($C$3+$D$3)*2+59))</f>
        <v>59</v>
      </c>
    </row>
    <row r="7" spans="1:14" ht="13.2">
      <c r="A7" s="260"/>
      <c r="E7" t="s">
        <v>35</v>
      </c>
      <c r="L7" s="104"/>
    </row>
    <row r="8" spans="1:14" ht="25.8">
      <c r="A8" s="260"/>
      <c r="B8" s="94" t="s">
        <v>71</v>
      </c>
      <c r="C8" s="94"/>
      <c r="D8" s="94"/>
      <c r="F8" s="261" t="s">
        <v>58</v>
      </c>
      <c r="G8" s="261"/>
      <c r="H8" s="87" t="s">
        <v>59</v>
      </c>
      <c r="I8" s="95" t="s">
        <v>63</v>
      </c>
      <c r="L8" s="104"/>
    </row>
    <row r="9" spans="1:14" ht="13.2">
      <c r="A9" s="260"/>
      <c r="B9" s="96">
        <f>ROUNDUP((D3/2)+1,0)</f>
        <v>1</v>
      </c>
      <c r="C9" s="97">
        <f>E3+6</f>
        <v>6</v>
      </c>
      <c r="D9" s="98">
        <f>D3+1</f>
        <v>1</v>
      </c>
      <c r="E9" s="89" t="s">
        <v>72</v>
      </c>
      <c r="F9" s="87">
        <f>C3+D3+51</f>
        <v>51</v>
      </c>
      <c r="G9" s="87">
        <f>SUM(B9:D9)</f>
        <v>8</v>
      </c>
      <c r="H9" s="90">
        <f>((F9*G9)/1000000)*2</f>
        <v>8.1599999999999999E-4</v>
      </c>
      <c r="I9" s="100"/>
      <c r="L9" s="104"/>
    </row>
    <row r="10" spans="1:14" ht="13.2">
      <c r="A10" s="260"/>
      <c r="B10" s="101">
        <f>ROUNDUP((D3/2)+2,0)</f>
        <v>2</v>
      </c>
      <c r="C10" s="102">
        <f>E3+8</f>
        <v>8</v>
      </c>
      <c r="D10" s="103">
        <f>D3+2</f>
        <v>2</v>
      </c>
      <c r="E10" s="89" t="s">
        <v>72</v>
      </c>
      <c r="F10" s="87">
        <f>C3+D3+53</f>
        <v>53</v>
      </c>
      <c r="G10" s="87">
        <f>SUM(B10:D10)</f>
        <v>12</v>
      </c>
      <c r="H10" s="90">
        <f>((F10*G10)/1000000)*2</f>
        <v>1.2719999999999999E-3</v>
      </c>
      <c r="I10" s="99">
        <v>500</v>
      </c>
      <c r="L10" s="104"/>
    </row>
    <row r="11" spans="1:14" ht="13.2">
      <c r="A11" s="260"/>
      <c r="B11" s="101">
        <f>ROUNDUP((D3/2)+3,0)</f>
        <v>3</v>
      </c>
      <c r="C11" s="102">
        <f>E3+10</f>
        <v>10</v>
      </c>
      <c r="D11" s="103">
        <f>D3+3</f>
        <v>3</v>
      </c>
      <c r="E11" s="89" t="s">
        <v>72</v>
      </c>
      <c r="F11" s="87">
        <f>C3+D3+55</f>
        <v>55</v>
      </c>
      <c r="G11" s="87">
        <f>SUM(B11:D11)</f>
        <v>16</v>
      </c>
      <c r="H11" s="90">
        <f>((F11*G11)/1000000)*2</f>
        <v>1.7600000000000001E-3</v>
      </c>
      <c r="I11" s="6"/>
      <c r="L11" s="104"/>
    </row>
    <row r="12" spans="1:14" ht="13.2">
      <c r="A12" s="260"/>
      <c r="B12" s="101">
        <f>ROUNDUP((D3/2)+4,0)</f>
        <v>4</v>
      </c>
      <c r="C12" s="102">
        <f>E3+14</f>
        <v>14</v>
      </c>
      <c r="D12" s="103">
        <f>D3+4</f>
        <v>4</v>
      </c>
      <c r="E12" s="89" t="s">
        <v>72</v>
      </c>
      <c r="F12" s="87">
        <f>C3+D3+59</f>
        <v>59</v>
      </c>
      <c r="G12" s="87">
        <f>SUM(B12:D12)</f>
        <v>22</v>
      </c>
      <c r="H12" s="90">
        <f>((F12*G12)/1000000)*2</f>
        <v>2.5959999999999998E-3</v>
      </c>
      <c r="I12" s="6"/>
      <c r="L12" s="104"/>
    </row>
    <row r="13" spans="1:14" ht="12.9" customHeight="1">
      <c r="L13" s="104"/>
      <c r="M13" s="265" t="s">
        <v>65</v>
      </c>
    </row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  <c r="L14" s="104"/>
      <c r="M14" s="265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 ca="1">IF(((($C$3+$D$3)*2+47)&lt;=2900)*AND($M$3=1),($C$3+$D$3)*2+47,IF(((($C$3+$D$3)*2+47)&gt;=2855),2*F21,($C$3+$D$3)*2+47))</f>
        <v>47</v>
      </c>
      <c r="G15" s="87">
        <f>SUM(B21:D21)</f>
        <v>8</v>
      </c>
      <c r="H15" s="90">
        <f ca="1">(F15*G15)/1000000</f>
        <v>3.7599999999999998E-4</v>
      </c>
      <c r="I15" s="91">
        <f ca="1">I22/H15</f>
        <v>1329787.2340425532</v>
      </c>
      <c r="J15" s="92">
        <f>C15+D15+20</f>
        <v>20</v>
      </c>
      <c r="K15" s="92">
        <f>(D15/2)+D15+E15+20</f>
        <v>20</v>
      </c>
      <c r="L15" s="88">
        <f>IF((E15+D15/2)&lt;1590,1,0)</f>
        <v>1</v>
      </c>
      <c r="M15" s="88">
        <f ca="1">TEXO!G17</f>
        <v>0</v>
      </c>
      <c r="N15">
        <f ca="1">IF(((($C$3+$D$3)*2+47)&lt;=2900)*AND($M$3=1),($C$3+$D$3)*2+47,IF(((($C$3+$D$3)*2+47)&gt;=2855),2*F21,($C$3+$D$3)*2+47))</f>
        <v>47</v>
      </c>
    </row>
    <row r="16" spans="1:14" ht="13.2">
      <c r="A16" s="260"/>
      <c r="B16" s="89" t="s">
        <v>68</v>
      </c>
      <c r="C16" s="6"/>
      <c r="D16" s="6"/>
      <c r="E16" s="6"/>
      <c r="F16" s="87">
        <f ca="1">IF(((($C$3+$D$3)*2+51)&lt;=2900)*AND($M$3=1),($C$3+$D$3)*2+51,IF(((($C$3+$D$3)*2+51)&gt;=2855),2*F22,($C$3+$D$3)*2+51))</f>
        <v>51</v>
      </c>
      <c r="G16" s="87">
        <f>SUM(B22:D22)</f>
        <v>12</v>
      </c>
      <c r="H16" s="93">
        <f ca="1">F16*G16/1000000</f>
        <v>6.1200000000000002E-4</v>
      </c>
      <c r="I16" s="91">
        <f ca="1">I22/H16</f>
        <v>816993.46405228751</v>
      </c>
      <c r="J16" s="92">
        <f>C15+D15+20</f>
        <v>20</v>
      </c>
      <c r="K16" s="92">
        <f>(D15/2)+D15+E15+20</f>
        <v>20</v>
      </c>
      <c r="L16" s="104"/>
      <c r="N16">
        <f ca="1">IF(((($C$3+$D$3)*2+51)&lt;=2900)*AND($M$3=1),($C$3+$D$3)*2+51,IF(((($C$3+$D$3)*2+51)&gt;=2855),2*F22,($C$3+$D$3)*2+51))</f>
        <v>51</v>
      </c>
    </row>
    <row r="17" spans="1:14" ht="13.2">
      <c r="A17" s="260"/>
      <c r="B17" s="89" t="s">
        <v>69</v>
      </c>
      <c r="C17" s="6"/>
      <c r="D17" s="6"/>
      <c r="E17" s="6"/>
      <c r="F17" s="87">
        <f ca="1">IF(((($C$3+$D$3)*2+55)&lt;=2900)*AND($M$3=1),($C$3+$D$3)*2+55,IF(((($C$3+$D$3)*2+55)&gt;=2855),2*F23,($C$3+$D$3)*2+55))</f>
        <v>55</v>
      </c>
      <c r="G17" s="87">
        <f>SUM(B23:D23)</f>
        <v>16</v>
      </c>
      <c r="H17" s="93">
        <f ca="1">F17*G17/1000000</f>
        <v>8.8000000000000003E-4</v>
      </c>
      <c r="I17" s="91">
        <f ca="1">I22/H17</f>
        <v>568181.81818181812</v>
      </c>
      <c r="J17" s="92">
        <f>C15+D15+40</f>
        <v>40</v>
      </c>
      <c r="K17" s="92">
        <f>(D15/2)+D15+E15+40</f>
        <v>40</v>
      </c>
      <c r="L17" s="104"/>
      <c r="N17">
        <f ca="1">IF(((($C$3+$D$3)*2+55)&lt;=2900)*AND($M$3=1),($C$3+$D$3)*2+55,IF(((($C$3+$D$3)*2+55)&gt;=2855),2*F23,($C$3+$D$3)*2+55))</f>
        <v>55</v>
      </c>
    </row>
    <row r="18" spans="1:14" ht="13.2">
      <c r="A18" s="260"/>
      <c r="B18" s="89" t="s">
        <v>70</v>
      </c>
      <c r="C18" s="6"/>
      <c r="D18" s="6"/>
      <c r="E18" s="6"/>
      <c r="F18" s="87">
        <f ca="1">IF(((($C$3+$D$3)*2+63)&lt;=2900)*AND($M$3=1),($C$3+$D$3)*2+63,IF(((($C$3+$D$3)*2+63)&gt;=2855),2*F24,($C$3+$D$3)*2+63))</f>
        <v>63</v>
      </c>
      <c r="G18" s="87">
        <f>SUM(B24:D24)</f>
        <v>22</v>
      </c>
      <c r="H18" s="93">
        <f ca="1">F18*G18/1000000</f>
        <v>1.3860000000000001E-3</v>
      </c>
      <c r="I18" s="91">
        <f ca="1">I22/H18</f>
        <v>360750.36075036071</v>
      </c>
      <c r="J18" s="92">
        <f>C15+D15+40</f>
        <v>40</v>
      </c>
      <c r="K18" s="92">
        <f>(D15/2)+D15+E15+40</f>
        <v>40</v>
      </c>
      <c r="L18" s="104"/>
      <c r="N18">
        <f ca="1">IF(((($C$3+$D$3)*2+59)&lt;=2900)*AND($M$3=1),($C$3+$D$3)*2+59,IF(((($C$3+$D$3)*2+59)&gt;=2855),2*F24,($C$3+$D$3)*2+59))</f>
        <v>59</v>
      </c>
    </row>
    <row r="19" spans="1:14" ht="13.2">
      <c r="A19" s="260"/>
      <c r="E19" t="s">
        <v>35</v>
      </c>
      <c r="L19" s="104"/>
    </row>
    <row r="20" spans="1:14" ht="25.8">
      <c r="A20" s="260"/>
      <c r="B20" s="94" t="s">
        <v>71</v>
      </c>
      <c r="C20" s="94"/>
      <c r="D20" s="94"/>
      <c r="F20" s="261" t="s">
        <v>58</v>
      </c>
      <c r="G20" s="261"/>
      <c r="H20" s="87" t="s">
        <v>59</v>
      </c>
      <c r="I20" s="95" t="s">
        <v>63</v>
      </c>
      <c r="L20" s="104"/>
    </row>
    <row r="21" spans="1:14" ht="13.2">
      <c r="A21" s="260"/>
      <c r="B21" s="96">
        <f>ROUNDUP((D15/2)+1,0)</f>
        <v>1</v>
      </c>
      <c r="C21" s="97">
        <f>E15+6</f>
        <v>6</v>
      </c>
      <c r="D21" s="98">
        <f>D15+1</f>
        <v>1</v>
      </c>
      <c r="E21" s="89" t="s">
        <v>72</v>
      </c>
      <c r="F21" s="87">
        <f>C15+D15+51</f>
        <v>51</v>
      </c>
      <c r="G21" s="87">
        <f>SUM(B21:D21)</f>
        <v>8</v>
      </c>
      <c r="H21" s="90">
        <f>((F21*G21)/1000000)*2</f>
        <v>8.1599999999999999E-4</v>
      </c>
      <c r="I21" s="100"/>
      <c r="L21" s="104"/>
    </row>
    <row r="22" spans="1:14" ht="13.2">
      <c r="A22" s="260"/>
      <c r="B22" s="101">
        <f>ROUNDUP((D15/2)+2,0)</f>
        <v>2</v>
      </c>
      <c r="C22" s="102">
        <f>E15+8</f>
        <v>8</v>
      </c>
      <c r="D22" s="103">
        <f>D15+2</f>
        <v>2</v>
      </c>
      <c r="E22" s="89" t="s">
        <v>72</v>
      </c>
      <c r="F22" s="87">
        <f>C15+D15+53</f>
        <v>53</v>
      </c>
      <c r="G22" s="87">
        <f>SUM(B22:D22)</f>
        <v>12</v>
      </c>
      <c r="H22" s="90">
        <f>((F22*G22)/1000000)*2</f>
        <v>1.2719999999999999E-3</v>
      </c>
      <c r="I22" s="99">
        <v>500</v>
      </c>
      <c r="L22" s="104"/>
    </row>
    <row r="23" spans="1:14" ht="13.2">
      <c r="A23" s="260"/>
      <c r="B23" s="101">
        <f>ROUNDUP((D15/2)+3,0)</f>
        <v>3</v>
      </c>
      <c r="C23" s="102">
        <f>E15+10</f>
        <v>10</v>
      </c>
      <c r="D23" s="103">
        <f>D15+3</f>
        <v>3</v>
      </c>
      <c r="E23" s="89" t="s">
        <v>72</v>
      </c>
      <c r="F23" s="87">
        <f>C15+D15+55</f>
        <v>55</v>
      </c>
      <c r="G23" s="87">
        <f>SUM(B23:D23)</f>
        <v>16</v>
      </c>
      <c r="H23" s="90">
        <f>((F23*G23)/1000000)*2</f>
        <v>1.7600000000000001E-3</v>
      </c>
      <c r="I23" s="6"/>
      <c r="L23" s="104"/>
    </row>
    <row r="24" spans="1:14" ht="13.2">
      <c r="A24" s="260"/>
      <c r="B24" s="101">
        <f>ROUNDUP((D15/2)+4,0)</f>
        <v>4</v>
      </c>
      <c r="C24" s="102">
        <f>E15+14</f>
        <v>14</v>
      </c>
      <c r="D24" s="103">
        <f>D15+4</f>
        <v>4</v>
      </c>
      <c r="E24" s="89" t="s">
        <v>72</v>
      </c>
      <c r="F24" s="87">
        <f>C15+D15+59</f>
        <v>59</v>
      </c>
      <c r="G24" s="87">
        <f>SUM(B24:D24)</f>
        <v>22</v>
      </c>
      <c r="H24" s="90">
        <f>((F24*G24)/1000000)*2</f>
        <v>2.5959999999999998E-3</v>
      </c>
      <c r="I24" s="6"/>
      <c r="L24" s="104"/>
    </row>
    <row r="25" spans="1:14" ht="12.9" customHeight="1">
      <c r="L25" s="104"/>
      <c r="M25" s="265" t="s">
        <v>65</v>
      </c>
    </row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  <c r="L26" s="104"/>
      <c r="M26" s="265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 ca="1">IF(((($C$3+$D$3)*2+47)&lt;=2900)*AND($M$3=1),($C$3+$D$3)*2+47,IF(((($C$3+$D$3)*2+47)&gt;=2855),2*F33,($C$3+$D$3)*2+47))</f>
        <v>47</v>
      </c>
      <c r="G27" s="87">
        <f>SUM(B33:D33)</f>
        <v>8</v>
      </c>
      <c r="H27" s="90">
        <f ca="1">(F27*G27)/1000000</f>
        <v>3.7599999999999998E-4</v>
      </c>
      <c r="I27" s="91">
        <f ca="1">I34/H27</f>
        <v>1329787.2340425532</v>
      </c>
      <c r="J27" s="92">
        <f>C27+D27+20</f>
        <v>20</v>
      </c>
      <c r="K27" s="92">
        <f>(D27/2)+D27+E27+20</f>
        <v>20</v>
      </c>
      <c r="L27" s="88">
        <f>IF((E27+D27/2)&lt;1590,1,0)</f>
        <v>1</v>
      </c>
      <c r="M27" s="88">
        <f ca="1">TEXO!G26</f>
        <v>0</v>
      </c>
      <c r="N27">
        <f ca="1">IF(((($C$3+$D$3)*2+47)&lt;=2900)*AND($M$3=1),($C$3+$D$3)*2+47,IF(((($C$3+$D$3)*2+47)&gt;=2855),2*F33,($C$3+$D$3)*2+47))</f>
        <v>47</v>
      </c>
    </row>
    <row r="28" spans="1:14" ht="13.2">
      <c r="A28" s="260"/>
      <c r="B28" s="89" t="s">
        <v>68</v>
      </c>
      <c r="C28" s="6"/>
      <c r="D28" s="6"/>
      <c r="E28" s="6"/>
      <c r="F28" s="87">
        <f ca="1">IF(((($C$3+$D$3)*2+51)&lt;=2900)*AND($M$3=1),($C$3+$D$3)*2+51,IF(((($C$3+$D$3)*2+51)&gt;=2855),2*F34,($C$3+$D$3)*2+51))</f>
        <v>51</v>
      </c>
      <c r="G28" s="87">
        <f>SUM(B34:D34)</f>
        <v>12</v>
      </c>
      <c r="H28" s="93">
        <f ca="1">F28*G28/1000000</f>
        <v>6.1200000000000002E-4</v>
      </c>
      <c r="I28" s="91">
        <f ca="1">I34/H28</f>
        <v>816993.46405228751</v>
      </c>
      <c r="J28" s="92">
        <f>C27+D27+20</f>
        <v>20</v>
      </c>
      <c r="K28" s="92">
        <f>(D27/2)+D27+E27+20</f>
        <v>20</v>
      </c>
      <c r="L28" s="104"/>
      <c r="N28">
        <f ca="1">IF(((($C$3+$D$3)*2+51)&lt;=2900)*AND($M$3=1),($C$3+$D$3)*2+51,IF(((($C$3+$D$3)*2+51)&gt;=2855),2*F34,($C$3+$D$3)*2+51))</f>
        <v>51</v>
      </c>
    </row>
    <row r="29" spans="1:14" ht="13.2">
      <c r="A29" s="260"/>
      <c r="B29" s="89" t="s">
        <v>69</v>
      </c>
      <c r="C29" s="6"/>
      <c r="D29" s="6"/>
      <c r="E29" s="6"/>
      <c r="F29" s="87">
        <f ca="1">IF(((($C$3+$D$3)*2+55)&lt;=2900)*AND($M$3=1),($C$3+$D$3)*2+55,IF(((($C$3+$D$3)*2+55)&gt;=2855),2*F35,($C$3+$D$3)*2+55))</f>
        <v>55</v>
      </c>
      <c r="G29" s="87">
        <f>SUM(B35:D35)</f>
        <v>16</v>
      </c>
      <c r="H29" s="93">
        <f ca="1">F29*G29/1000000</f>
        <v>8.8000000000000003E-4</v>
      </c>
      <c r="I29" s="91">
        <f ca="1">I34/H29</f>
        <v>568181.81818181812</v>
      </c>
      <c r="J29" s="92">
        <f>C27+D27+40</f>
        <v>40</v>
      </c>
      <c r="K29" s="92">
        <f>(D27/2)+D27+E27+40</f>
        <v>40</v>
      </c>
      <c r="L29" s="104"/>
      <c r="N29">
        <f ca="1">IF(((($C$3+$D$3)*2+55)&lt;=2900)*AND($M$3=1),($C$3+$D$3)*2+55,IF(((($C$3+$D$3)*2+55)&gt;=2855),2*F35,($C$3+$D$3)*2+55))</f>
        <v>55</v>
      </c>
    </row>
    <row r="30" spans="1:14" ht="13.2">
      <c r="A30" s="260"/>
      <c r="B30" s="89" t="s">
        <v>70</v>
      </c>
      <c r="C30" s="6"/>
      <c r="D30" s="6"/>
      <c r="E30" s="6"/>
      <c r="F30" s="87">
        <f ca="1">IF(((($C$3+$D$3)*2+63)&lt;=2900)*AND($M$3=1),($C$3+$D$3)*2+63,IF(((($C$3+$D$3)*2+63)&gt;=2855),2*F36,($C$3+$D$3)*2+63))</f>
        <v>63</v>
      </c>
      <c r="G30" s="87">
        <f>SUM(B36:D36)</f>
        <v>22</v>
      </c>
      <c r="H30" s="93">
        <f ca="1">F30*G30/1000000</f>
        <v>1.3860000000000001E-3</v>
      </c>
      <c r="I30" s="91">
        <f ca="1">I34/H30</f>
        <v>360750.36075036071</v>
      </c>
      <c r="J30" s="92">
        <f>C27+D27+40</f>
        <v>40</v>
      </c>
      <c r="K30" s="92">
        <f>(D27/2)+D27+E27+40</f>
        <v>40</v>
      </c>
      <c r="L30" s="104"/>
      <c r="N30">
        <f ca="1">IF(((($C$3+$D$3)*2+59)&lt;=2900)*AND($M$3=1),($C$3+$D$3)*2+59,IF(((($C$3+$D$3)*2+59)&gt;=2855),2*F36,($C$3+$D$3)*2+59))</f>
        <v>59</v>
      </c>
    </row>
    <row r="31" spans="1:14" ht="13.2">
      <c r="A31" s="260"/>
      <c r="E31" t="s">
        <v>35</v>
      </c>
      <c r="L31" s="104"/>
    </row>
    <row r="32" spans="1:14" ht="25.8">
      <c r="A32" s="260"/>
      <c r="B32" s="94" t="s">
        <v>71</v>
      </c>
      <c r="C32" s="94"/>
      <c r="D32" s="94"/>
      <c r="F32" s="261" t="s">
        <v>58</v>
      </c>
      <c r="G32" s="261"/>
      <c r="H32" s="87" t="s">
        <v>59</v>
      </c>
      <c r="I32" s="95" t="s">
        <v>63</v>
      </c>
      <c r="L32" s="104"/>
    </row>
    <row r="33" spans="1:14" ht="13.2">
      <c r="A33" s="260"/>
      <c r="B33" s="96">
        <f>ROUNDUP((D27/2)+1,0)</f>
        <v>1</v>
      </c>
      <c r="C33" s="97">
        <f>E27+6</f>
        <v>6</v>
      </c>
      <c r="D33" s="98">
        <f>D27+1</f>
        <v>1</v>
      </c>
      <c r="E33" s="89" t="s">
        <v>72</v>
      </c>
      <c r="F33" s="87">
        <f>C27+D27+51</f>
        <v>51</v>
      </c>
      <c r="G33" s="87">
        <f>SUM(B33:D33)</f>
        <v>8</v>
      </c>
      <c r="H33" s="90">
        <f>((F33*G33)/1000000)*2</f>
        <v>8.1599999999999999E-4</v>
      </c>
      <c r="I33" s="100"/>
      <c r="L33" s="104"/>
    </row>
    <row r="34" spans="1:14" ht="13.2">
      <c r="A34" s="260"/>
      <c r="B34" s="101">
        <f>ROUNDUP((D27/2)+2,0)</f>
        <v>2</v>
      </c>
      <c r="C34" s="102">
        <f>E27+8</f>
        <v>8</v>
      </c>
      <c r="D34" s="103">
        <f>D27+2</f>
        <v>2</v>
      </c>
      <c r="E34" s="89" t="s">
        <v>72</v>
      </c>
      <c r="F34" s="87">
        <f>C27+D27+53</f>
        <v>53</v>
      </c>
      <c r="G34" s="87">
        <f>SUM(B34:D34)</f>
        <v>12</v>
      </c>
      <c r="H34" s="90">
        <f>((F34*G34)/1000000)*2</f>
        <v>1.2719999999999999E-3</v>
      </c>
      <c r="I34" s="99">
        <v>500</v>
      </c>
      <c r="L34" s="104"/>
    </row>
    <row r="35" spans="1:14" ht="13.2">
      <c r="A35" s="260"/>
      <c r="B35" s="101">
        <f>ROUNDUP((D27/2)+3,0)</f>
        <v>3</v>
      </c>
      <c r="C35" s="102">
        <f>E27+10</f>
        <v>10</v>
      </c>
      <c r="D35" s="103">
        <f>D27+3</f>
        <v>3</v>
      </c>
      <c r="E35" s="89" t="s">
        <v>72</v>
      </c>
      <c r="F35" s="87">
        <f>C27+D27+55</f>
        <v>55</v>
      </c>
      <c r="G35" s="87">
        <f>SUM(B35:D35)</f>
        <v>16</v>
      </c>
      <c r="H35" s="90">
        <f>((F35*G35)/1000000)*2</f>
        <v>1.7600000000000001E-3</v>
      </c>
      <c r="I35" s="6"/>
      <c r="L35" s="104"/>
    </row>
    <row r="36" spans="1:14" ht="13.2">
      <c r="A36" s="260"/>
      <c r="B36" s="101">
        <f>ROUNDUP((D27/2)+4,0)</f>
        <v>4</v>
      </c>
      <c r="C36" s="102">
        <f>E27+14</f>
        <v>14</v>
      </c>
      <c r="D36" s="103">
        <f>D27+4</f>
        <v>4</v>
      </c>
      <c r="E36" s="89" t="s">
        <v>72</v>
      </c>
      <c r="F36" s="87">
        <f>C27+D27+59</f>
        <v>59</v>
      </c>
      <c r="G36" s="87">
        <f>SUM(B36:D36)</f>
        <v>22</v>
      </c>
      <c r="H36" s="90">
        <f>((F36*G36)/1000000)*2</f>
        <v>2.5959999999999998E-3</v>
      </c>
      <c r="I36" s="6"/>
      <c r="L36" s="104"/>
    </row>
    <row r="37" spans="1:14" ht="12.9" customHeight="1">
      <c r="L37" s="104"/>
      <c r="M37" s="265" t="s">
        <v>65</v>
      </c>
    </row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  <c r="L38" s="104"/>
      <c r="M38" s="265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 ca="1">IF(((($C$3+$D$3)*2+47)&lt;=2900)*AND($M$3=1),($C$3+$D$3)*2+47,IF(((($C$3+$D$3)*2+47)&gt;=2855),2*F45,($C$3+$D$3)*2+47))</f>
        <v>47</v>
      </c>
      <c r="G39" s="87">
        <f>SUM(B45:D45)</f>
        <v>8</v>
      </c>
      <c r="H39" s="90">
        <f ca="1">(F39*G39)/1000000</f>
        <v>3.7599999999999998E-4</v>
      </c>
      <c r="I39" s="91">
        <f ca="1">I46/H39</f>
        <v>1329787.2340425532</v>
      </c>
      <c r="J39" s="92">
        <f>C39+D39+20</f>
        <v>20</v>
      </c>
      <c r="K39" s="92">
        <f>(D39/2)+D39+E39+20</f>
        <v>20</v>
      </c>
      <c r="L39" s="88">
        <f>IF((E39+D39/2)&lt;1590,1,0)</f>
        <v>1</v>
      </c>
      <c r="M39" s="88">
        <f ca="1">TEXO!G35</f>
        <v>0</v>
      </c>
      <c r="N39">
        <f ca="1">IF(((($C$3+$D$3)*2+47)&lt;=2900)*AND($M$3=1),($C$3+$D$3)*2+47,IF(((($C$3+$D$3)*2+47)&gt;=2855),2*F45,($C$3+$D$3)*2+47))</f>
        <v>47</v>
      </c>
    </row>
    <row r="40" spans="1:14" ht="13.2">
      <c r="A40" s="260"/>
      <c r="B40" s="89" t="s">
        <v>68</v>
      </c>
      <c r="C40" s="6"/>
      <c r="D40" s="6"/>
      <c r="E40" s="6"/>
      <c r="F40" s="87">
        <f ca="1">IF(((($C$3+$D$3)*2+51)&lt;=2900)*AND($M$3=1),($C$3+$D$3)*2+51,IF(((($C$3+$D$3)*2+51)&gt;=2855),2*F46,($C$3+$D$3)*2+51))</f>
        <v>51</v>
      </c>
      <c r="G40" s="87">
        <f>SUM(B46:D46)</f>
        <v>12</v>
      </c>
      <c r="H40" s="93">
        <f ca="1">F40*G40/1000000</f>
        <v>6.1200000000000002E-4</v>
      </c>
      <c r="I40" s="91">
        <f ca="1">I46/H40</f>
        <v>816993.46405228751</v>
      </c>
      <c r="J40" s="92">
        <f>C39+D39+20</f>
        <v>20</v>
      </c>
      <c r="K40" s="92">
        <f>(D39/2)+D39+E39+20</f>
        <v>20</v>
      </c>
      <c r="L40" s="104"/>
      <c r="N40">
        <f ca="1">IF(((($C$3+$D$3)*2+51)&lt;=2900)*AND($M$3=1),($C$3+$D$3)*2+51,IF(((($C$3+$D$3)*2+51)&gt;=2855),2*F46,($C$3+$D$3)*2+51))</f>
        <v>51</v>
      </c>
    </row>
    <row r="41" spans="1:14" ht="13.2">
      <c r="A41" s="260"/>
      <c r="B41" s="89" t="s">
        <v>69</v>
      </c>
      <c r="C41" s="6"/>
      <c r="D41" s="6"/>
      <c r="E41" s="6"/>
      <c r="F41" s="87">
        <f ca="1">IF(((($C$3+$D$3)*2+55)&lt;=2900)*AND($M$3=1),($C$3+$D$3)*2+55,IF(((($C$3+$D$3)*2+55)&gt;=2855),2*F47,($C$3+$D$3)*2+55))</f>
        <v>55</v>
      </c>
      <c r="G41" s="87">
        <f>SUM(B47:D47)</f>
        <v>16</v>
      </c>
      <c r="H41" s="93">
        <f ca="1">F41*G41/1000000</f>
        <v>8.8000000000000003E-4</v>
      </c>
      <c r="I41" s="91">
        <f ca="1">I46/H41</f>
        <v>568181.81818181812</v>
      </c>
      <c r="J41" s="92">
        <f>C39+D39+40</f>
        <v>40</v>
      </c>
      <c r="K41" s="92">
        <f>(D39/2)+D39+E39+40</f>
        <v>40</v>
      </c>
      <c r="L41" s="104"/>
      <c r="N41">
        <f ca="1">IF(((($C$3+$D$3)*2+55)&lt;=2900)*AND($M$3=1),($C$3+$D$3)*2+55,IF(((($C$3+$D$3)*2+55)&gt;=2855),2*F47,($C$3+$D$3)*2+55))</f>
        <v>55</v>
      </c>
    </row>
    <row r="42" spans="1:14" ht="13.2">
      <c r="A42" s="260"/>
      <c r="B42" s="89" t="s">
        <v>70</v>
      </c>
      <c r="C42" s="6"/>
      <c r="D42" s="6"/>
      <c r="E42" s="6"/>
      <c r="F42" s="87">
        <f ca="1">IF(((($C$3+$D$3)*2+63)&lt;=2900)*AND($M$3=1),($C$3+$D$3)*2+63,IF(((($C$3+$D$3)*2+63)&gt;=2855),2*F48,($C$3+$D$3)*2+63))</f>
        <v>63</v>
      </c>
      <c r="G42" s="87">
        <f>SUM(B48:D48)</f>
        <v>22</v>
      </c>
      <c r="H42" s="93">
        <f ca="1">F42*G42/1000000</f>
        <v>1.3860000000000001E-3</v>
      </c>
      <c r="I42" s="91">
        <f ca="1">I46/H42</f>
        <v>360750.36075036071</v>
      </c>
      <c r="J42" s="92">
        <f>C39+D39+40</f>
        <v>40</v>
      </c>
      <c r="K42" s="92">
        <f>(D39/2)+D39+E39+40</f>
        <v>40</v>
      </c>
      <c r="L42" s="104"/>
      <c r="N42">
        <f ca="1">IF(((($C$3+$D$3)*2+59)&lt;=2900)*AND($M$3=1),($C$3+$D$3)*2+59,IF(((($C$3+$D$3)*2+59)&gt;=2855),2*F48,($C$3+$D$3)*2+59))</f>
        <v>59</v>
      </c>
    </row>
    <row r="43" spans="1:14" ht="13.2">
      <c r="A43" s="260"/>
      <c r="E43" t="s">
        <v>35</v>
      </c>
      <c r="L43" s="104"/>
    </row>
    <row r="44" spans="1:14" ht="25.8">
      <c r="A44" s="260"/>
      <c r="B44" s="94" t="s">
        <v>71</v>
      </c>
      <c r="C44" s="94"/>
      <c r="D44" s="94"/>
      <c r="F44" s="261" t="s">
        <v>58</v>
      </c>
      <c r="G44" s="261"/>
      <c r="H44" s="87" t="s">
        <v>59</v>
      </c>
      <c r="I44" s="95" t="s">
        <v>63</v>
      </c>
      <c r="L44" s="104"/>
    </row>
    <row r="45" spans="1:14" ht="13.2">
      <c r="A45" s="260"/>
      <c r="B45" s="96">
        <f>ROUNDUP((D39/2)+1,0)</f>
        <v>1</v>
      </c>
      <c r="C45" s="97">
        <f>E39+6</f>
        <v>6</v>
      </c>
      <c r="D45" s="98">
        <f>D39+1</f>
        <v>1</v>
      </c>
      <c r="E45" s="89" t="s">
        <v>72</v>
      </c>
      <c r="F45" s="87">
        <f>C39+D39+51</f>
        <v>51</v>
      </c>
      <c r="G45" s="87">
        <f>SUM(B45:D45)</f>
        <v>8</v>
      </c>
      <c r="H45" s="90">
        <f>((F45*G45)/1000000)*2</f>
        <v>8.1599999999999999E-4</v>
      </c>
      <c r="I45" s="100"/>
      <c r="L45" s="104"/>
    </row>
    <row r="46" spans="1:14" ht="13.2">
      <c r="A46" s="260"/>
      <c r="B46" s="101">
        <f>ROUNDUP((D39/2)+2,0)</f>
        <v>2</v>
      </c>
      <c r="C46" s="102">
        <f>E39+8</f>
        <v>8</v>
      </c>
      <c r="D46" s="103">
        <f>D39+2</f>
        <v>2</v>
      </c>
      <c r="E46" s="89" t="s">
        <v>72</v>
      </c>
      <c r="F46" s="87">
        <f>C39+D39+53</f>
        <v>53</v>
      </c>
      <c r="G46" s="87">
        <f>SUM(B46:D46)</f>
        <v>12</v>
      </c>
      <c r="H46" s="90">
        <f>((F46*G46)/1000000)*2</f>
        <v>1.2719999999999999E-3</v>
      </c>
      <c r="I46" s="99">
        <v>500</v>
      </c>
      <c r="L46" s="104"/>
    </row>
    <row r="47" spans="1:14" ht="13.2">
      <c r="A47" s="260"/>
      <c r="B47" s="101">
        <f>ROUNDUP((D39/2)+3,0)</f>
        <v>3</v>
      </c>
      <c r="C47" s="102">
        <f>E39+10</f>
        <v>10</v>
      </c>
      <c r="D47" s="103">
        <f>D39+3</f>
        <v>3</v>
      </c>
      <c r="E47" s="89" t="s">
        <v>72</v>
      </c>
      <c r="F47" s="87">
        <f>C39+D39+55</f>
        <v>55</v>
      </c>
      <c r="G47" s="87">
        <f>SUM(B47:D47)</f>
        <v>16</v>
      </c>
      <c r="H47" s="90">
        <f>((F47*G47)/1000000)*2</f>
        <v>1.7600000000000001E-3</v>
      </c>
      <c r="I47" s="6"/>
      <c r="L47" s="104"/>
    </row>
    <row r="48" spans="1:14" ht="13.2">
      <c r="A48" s="260"/>
      <c r="B48" s="101">
        <f>ROUNDUP((D39/2)+4,0)</f>
        <v>4</v>
      </c>
      <c r="C48" s="102">
        <f>E39+14</f>
        <v>14</v>
      </c>
      <c r="D48" s="103">
        <f>D39+4</f>
        <v>4</v>
      </c>
      <c r="E48" s="89" t="s">
        <v>72</v>
      </c>
      <c r="F48" s="87">
        <f>C39+D39+59</f>
        <v>59</v>
      </c>
      <c r="G48" s="87">
        <f>SUM(B48:D48)</f>
        <v>22</v>
      </c>
      <c r="H48" s="90">
        <f>((F48*G48)/1000000)*2</f>
        <v>2.5959999999999998E-3</v>
      </c>
      <c r="I48" s="6"/>
      <c r="L48" s="104"/>
    </row>
    <row r="49" spans="1:14" ht="12.9" customHeight="1">
      <c r="L49" s="104"/>
      <c r="M49" s="265" t="s">
        <v>65</v>
      </c>
    </row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  <c r="L50" s="104"/>
      <c r="M50" s="265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 ca="1">IF(((($C$3+$D$3)*2+47)&lt;=2900)*AND($M$3=1),($C$3+$D$3)*2+47,IF(((($C$3+$D$3)*2+47)&gt;=2855),2*F57,($C$3+$D$3)*2+47))</f>
        <v>47</v>
      </c>
      <c r="G51" s="87">
        <f>SUM(B57:D57)</f>
        <v>8</v>
      </c>
      <c r="H51" s="90">
        <f ca="1">(F51*G51)/1000000</f>
        <v>3.7599999999999998E-4</v>
      </c>
      <c r="I51" s="91">
        <f ca="1">I58/H51</f>
        <v>1329787.2340425532</v>
      </c>
      <c r="J51" s="92">
        <f>C51+D51+20</f>
        <v>20</v>
      </c>
      <c r="K51" s="92">
        <f>(D51/2)+D51+E51+20</f>
        <v>20</v>
      </c>
      <c r="L51" s="88">
        <f>IF((E51+D51/2)&lt;1590,1,0)</f>
        <v>1</v>
      </c>
      <c r="M51" s="88">
        <f ca="1">TEXO!G44</f>
        <v>0</v>
      </c>
      <c r="N51">
        <f ca="1">IF(((($C$3+$D$3)*2+47)&lt;=2900)*AND($M$3=1),($C$3+$D$3)*2+47,IF(((($C$3+$D$3)*2+47)&gt;=2855),2*F57,($C$3+$D$3)*2+47))</f>
        <v>47</v>
      </c>
    </row>
    <row r="52" spans="1:14" ht="13.2">
      <c r="A52" s="260"/>
      <c r="B52" s="89" t="s">
        <v>68</v>
      </c>
      <c r="C52" s="6"/>
      <c r="D52" s="6"/>
      <c r="E52" s="6"/>
      <c r="F52" s="87">
        <f ca="1">IF(((($C$3+$D$3)*2+51)&lt;=2900)*AND($M$3=1),($C$3+$D$3)*2+51,IF(((($C$3+$D$3)*2+51)&gt;=2855),2*F58,($C$3+$D$3)*2+51))</f>
        <v>51</v>
      </c>
      <c r="G52" s="87">
        <f>SUM(B58:D58)</f>
        <v>12</v>
      </c>
      <c r="H52" s="93">
        <f ca="1">F52*G52/1000000</f>
        <v>6.1200000000000002E-4</v>
      </c>
      <c r="I52" s="91">
        <f ca="1">I58/H52</f>
        <v>816993.46405228751</v>
      </c>
      <c r="J52" s="92">
        <f>C51+D51+20</f>
        <v>20</v>
      </c>
      <c r="K52" s="92">
        <f>(D51/2)+D51+E51+20</f>
        <v>20</v>
      </c>
      <c r="L52" s="104"/>
      <c r="N52">
        <f ca="1">IF(((($C$3+$D$3)*2+51)&lt;=2900)*AND($M$3=1),($C$3+$D$3)*2+51,IF(((($C$3+$D$3)*2+51)&gt;=2855),2*F58,($C$3+$D$3)*2+51))</f>
        <v>51</v>
      </c>
    </row>
    <row r="53" spans="1:14" ht="13.2">
      <c r="A53" s="260"/>
      <c r="B53" s="89" t="s">
        <v>69</v>
      </c>
      <c r="C53" s="6"/>
      <c r="D53" s="6"/>
      <c r="E53" s="6"/>
      <c r="F53" s="87">
        <f ca="1">IF(((($C$3+$D$3)*2+55)&lt;=2900)*AND($M$3=1),($C$3+$D$3)*2+55,IF(((($C$3+$D$3)*2+55)&gt;=2855),2*F59,($C$3+$D$3)*2+55))</f>
        <v>55</v>
      </c>
      <c r="G53" s="87">
        <f>SUM(B59:D59)</f>
        <v>16</v>
      </c>
      <c r="H53" s="93">
        <f ca="1">F53*G53/1000000</f>
        <v>8.8000000000000003E-4</v>
      </c>
      <c r="I53" s="91">
        <f ca="1">I58/H53</f>
        <v>568181.81818181812</v>
      </c>
      <c r="J53" s="92">
        <f>C51+D51+40</f>
        <v>40</v>
      </c>
      <c r="K53" s="92">
        <f>(D51/2)+D51+E51+40</f>
        <v>40</v>
      </c>
      <c r="L53" s="104"/>
      <c r="N53">
        <f ca="1">IF(((($C$3+$D$3)*2+55)&lt;=2900)*AND($M$3=1),($C$3+$D$3)*2+55,IF(((($C$3+$D$3)*2+55)&gt;=2855),2*F59,($C$3+$D$3)*2+55))</f>
        <v>55</v>
      </c>
    </row>
    <row r="54" spans="1:14" ht="13.2">
      <c r="A54" s="260"/>
      <c r="B54" s="89" t="s">
        <v>70</v>
      </c>
      <c r="C54" s="6"/>
      <c r="D54" s="6"/>
      <c r="E54" s="6"/>
      <c r="F54" s="87">
        <f ca="1">IF(((($C$3+$D$3)*2+63)&lt;=2900)*AND($M$3=1),($C$3+$D$3)*2+63,IF(((($C$3+$D$3)*2+63)&gt;=2855),2*F60,($C$3+$D$3)*2+63))</f>
        <v>63</v>
      </c>
      <c r="G54" s="87">
        <f>SUM(B60:D60)</f>
        <v>22</v>
      </c>
      <c r="H54" s="93">
        <f ca="1">F54*G54/1000000</f>
        <v>1.3860000000000001E-3</v>
      </c>
      <c r="I54" s="91">
        <f ca="1">I58/H54</f>
        <v>360750.36075036071</v>
      </c>
      <c r="J54" s="92">
        <f>C51+D51+40</f>
        <v>40</v>
      </c>
      <c r="K54" s="92">
        <f>(D51/2)+D51+E51+40</f>
        <v>40</v>
      </c>
      <c r="L54" s="104"/>
      <c r="N54">
        <f ca="1">IF(((($C$3+$D$3)*2+59)&lt;=2900)*AND($M$3=1),($C$3+$D$3)*2+59,IF(((($C$3+$D$3)*2+59)&gt;=2855),2*F60,($C$3+$D$3)*2+59))</f>
        <v>59</v>
      </c>
    </row>
    <row r="55" spans="1:14" ht="13.2">
      <c r="A55" s="260"/>
      <c r="E55" t="s">
        <v>35</v>
      </c>
      <c r="L55" s="104"/>
    </row>
    <row r="56" spans="1:14" ht="25.8">
      <c r="A56" s="260"/>
      <c r="B56" s="94" t="s">
        <v>71</v>
      </c>
      <c r="C56" s="94"/>
      <c r="D56" s="94"/>
      <c r="F56" s="261" t="s">
        <v>58</v>
      </c>
      <c r="G56" s="261"/>
      <c r="H56" s="87" t="s">
        <v>59</v>
      </c>
      <c r="I56" s="95" t="s">
        <v>63</v>
      </c>
      <c r="L56" s="104"/>
    </row>
    <row r="57" spans="1:14" ht="13.2">
      <c r="A57" s="260"/>
      <c r="B57" s="96">
        <f>ROUNDUP((D51/2)+1,0)</f>
        <v>1</v>
      </c>
      <c r="C57" s="97">
        <f>E51+6</f>
        <v>6</v>
      </c>
      <c r="D57" s="98">
        <f>D51+1</f>
        <v>1</v>
      </c>
      <c r="E57" s="89" t="s">
        <v>72</v>
      </c>
      <c r="F57" s="87">
        <f>C51+D51+51</f>
        <v>51</v>
      </c>
      <c r="G57" s="87">
        <f>SUM(B57:D57)</f>
        <v>8</v>
      </c>
      <c r="H57" s="90">
        <f>((F57*G57)/1000000)*2</f>
        <v>8.1599999999999999E-4</v>
      </c>
      <c r="I57" s="100"/>
      <c r="L57" s="104"/>
    </row>
    <row r="58" spans="1:14" ht="13.2">
      <c r="A58" s="260"/>
      <c r="B58" s="101">
        <f>ROUNDUP((D51/2)+2,0)</f>
        <v>2</v>
      </c>
      <c r="C58" s="102">
        <f>E51+8</f>
        <v>8</v>
      </c>
      <c r="D58" s="103">
        <f>D51+2</f>
        <v>2</v>
      </c>
      <c r="E58" s="89" t="s">
        <v>72</v>
      </c>
      <c r="F58" s="87">
        <f>C51+D51+53</f>
        <v>53</v>
      </c>
      <c r="G58" s="87">
        <f>SUM(B58:D58)</f>
        <v>12</v>
      </c>
      <c r="H58" s="90">
        <f>((F58*G58)/1000000)*2</f>
        <v>1.2719999999999999E-3</v>
      </c>
      <c r="I58" s="99">
        <v>500</v>
      </c>
      <c r="L58" s="104"/>
    </row>
    <row r="59" spans="1:14" ht="13.2">
      <c r="A59" s="260"/>
      <c r="B59" s="101">
        <f>ROUNDUP((D51/2)+3,0)</f>
        <v>3</v>
      </c>
      <c r="C59" s="102">
        <f>E51+10</f>
        <v>10</v>
      </c>
      <c r="D59" s="103">
        <f>D51+3</f>
        <v>3</v>
      </c>
      <c r="E59" s="89" t="s">
        <v>72</v>
      </c>
      <c r="F59" s="87">
        <f>C51+D51+55</f>
        <v>55</v>
      </c>
      <c r="G59" s="87">
        <f>SUM(B59:D59)</f>
        <v>16</v>
      </c>
      <c r="H59" s="90">
        <f>((F59*G59)/1000000)*2</f>
        <v>1.7600000000000001E-3</v>
      </c>
      <c r="I59" s="6"/>
      <c r="L59" s="104"/>
    </row>
    <row r="60" spans="1:14" ht="13.2">
      <c r="A60" s="260"/>
      <c r="B60" s="101">
        <f>ROUNDUP((D51/2)+4,0)</f>
        <v>4</v>
      </c>
      <c r="C60" s="102">
        <f>E51+14</f>
        <v>14</v>
      </c>
      <c r="D60" s="103">
        <f>D51+4</f>
        <v>4</v>
      </c>
      <c r="E60" s="89" t="s">
        <v>72</v>
      </c>
      <c r="F60" s="87">
        <f>C51+D51+59</f>
        <v>59</v>
      </c>
      <c r="G60" s="87">
        <f>SUM(B60:D60)</f>
        <v>22</v>
      </c>
      <c r="H60" s="90">
        <f>((F60*G60)/1000000)*2</f>
        <v>2.5959999999999998E-3</v>
      </c>
      <c r="I60" s="6"/>
      <c r="L60" s="104"/>
    </row>
    <row r="61" spans="1:14" ht="12.9" customHeight="1">
      <c r="L61" s="104"/>
      <c r="M61" s="265" t="s">
        <v>65</v>
      </c>
    </row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  <c r="L62" s="104"/>
      <c r="M62" s="265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 ca="1">IF(((($C$3+$D$3)*2+47)&lt;=2900)*AND($M$3=1),($C$3+$D$3)*2+47,IF(((($C$3+$D$3)*2+47)&gt;=2855),2*F69,($C$3+$D$3)*2+47))</f>
        <v>47</v>
      </c>
      <c r="G63" s="87">
        <f>SUM(B69:D69)</f>
        <v>8</v>
      </c>
      <c r="H63" s="90">
        <f ca="1">(F63*G63)/1000000</f>
        <v>3.7599999999999998E-4</v>
      </c>
      <c r="I63" s="91">
        <f ca="1">I70/H63</f>
        <v>1329787.2340425532</v>
      </c>
      <c r="J63" s="92">
        <f>C63+D63+20</f>
        <v>20</v>
      </c>
      <c r="K63" s="92">
        <f>(D63/2)+D63+E63+20</f>
        <v>20</v>
      </c>
      <c r="L63" s="88">
        <f>IF((E63+D63/2)&lt;1590,1,0)</f>
        <v>1</v>
      </c>
      <c r="M63" s="88">
        <f ca="1">TEXO!G53</f>
        <v>0</v>
      </c>
      <c r="N63">
        <f ca="1">IF(((($C$3+$D$3)*2+47)&lt;=2900)*AND($M$3=1),($C$3+$D$3)*2+47,IF(((($C$3+$D$3)*2+47)&gt;=2855),2*F69,($C$3+$D$3)*2+47))</f>
        <v>47</v>
      </c>
    </row>
    <row r="64" spans="1:14" ht="13.2">
      <c r="A64" s="260"/>
      <c r="B64" s="89" t="s">
        <v>68</v>
      </c>
      <c r="C64" s="6"/>
      <c r="D64" s="6"/>
      <c r="E64" s="6"/>
      <c r="F64" s="87">
        <f ca="1">IF(((($C$3+$D$3)*2+51)&lt;=2900)*AND($M$3=1),($C$3+$D$3)*2+51,IF(((($C$3+$D$3)*2+51)&gt;=2855),2*F70,($C$3+$D$3)*2+51))</f>
        <v>51</v>
      </c>
      <c r="G64" s="87">
        <f>SUM(B70:D70)</f>
        <v>12</v>
      </c>
      <c r="H64" s="93">
        <f ca="1">F64*G64/1000000</f>
        <v>6.1200000000000002E-4</v>
      </c>
      <c r="I64" s="91">
        <f ca="1">I70/H64</f>
        <v>816993.46405228751</v>
      </c>
      <c r="J64" s="92">
        <f>C63+D63+20</f>
        <v>20</v>
      </c>
      <c r="K64" s="92">
        <f>(D63/2)+D63+E63+20</f>
        <v>20</v>
      </c>
      <c r="L64" s="104"/>
      <c r="N64">
        <f ca="1">IF(((($C$3+$D$3)*2+51)&lt;=2900)*AND($M$3=1),($C$3+$D$3)*2+51,IF(((($C$3+$D$3)*2+51)&gt;=2855),2*F70,($C$3+$D$3)*2+51))</f>
        <v>51</v>
      </c>
    </row>
    <row r="65" spans="1:14" ht="13.2">
      <c r="A65" s="260"/>
      <c r="B65" s="89" t="s">
        <v>69</v>
      </c>
      <c r="C65" s="6"/>
      <c r="D65" s="6"/>
      <c r="E65" s="6"/>
      <c r="F65" s="87">
        <f ca="1">IF(((($C$3+$D$3)*2+55)&lt;=2900)*AND($M$3=1),($C$3+$D$3)*2+55,IF(((($C$3+$D$3)*2+55)&gt;=2855),2*F71,($C$3+$D$3)*2+55))</f>
        <v>55</v>
      </c>
      <c r="G65" s="87">
        <f>SUM(B71:D71)</f>
        <v>16</v>
      </c>
      <c r="H65" s="93">
        <f ca="1">F65*G65/1000000</f>
        <v>8.8000000000000003E-4</v>
      </c>
      <c r="I65" s="91">
        <f ca="1">I70/H65</f>
        <v>568181.81818181812</v>
      </c>
      <c r="J65" s="92">
        <f>C63+D63+40</f>
        <v>40</v>
      </c>
      <c r="K65" s="92">
        <f>(D63/2)+D63+E63+40</f>
        <v>40</v>
      </c>
      <c r="L65" s="104"/>
      <c r="N65">
        <f ca="1">IF(((($C$3+$D$3)*2+55)&lt;=2900)*AND($M$3=1),($C$3+$D$3)*2+55,IF(((($C$3+$D$3)*2+55)&gt;=2855),2*F71,($C$3+$D$3)*2+55))</f>
        <v>55</v>
      </c>
    </row>
    <row r="66" spans="1:14" ht="13.2">
      <c r="A66" s="260"/>
      <c r="B66" s="89" t="s">
        <v>70</v>
      </c>
      <c r="C66" s="6"/>
      <c r="D66" s="6"/>
      <c r="E66" s="6"/>
      <c r="F66" s="87">
        <f ca="1">IF(((($C$3+$D$3)*2+63)&lt;=2900)*AND($M$3=1),($C$3+$D$3)*2+63,IF(((($C$3+$D$3)*2+63)&gt;=2855),2*F72,($C$3+$D$3)*2+63))</f>
        <v>63</v>
      </c>
      <c r="G66" s="87">
        <f>SUM(B72:D72)</f>
        <v>22</v>
      </c>
      <c r="H66" s="93">
        <f ca="1">F66*G66/1000000</f>
        <v>1.3860000000000001E-3</v>
      </c>
      <c r="I66" s="91">
        <f ca="1">I70/H66</f>
        <v>360750.36075036071</v>
      </c>
      <c r="J66" s="92">
        <f>C63+D63+40</f>
        <v>40</v>
      </c>
      <c r="K66" s="92">
        <f>(D63/2)+D63+E63+40</f>
        <v>40</v>
      </c>
      <c r="L66" s="104"/>
      <c r="N66">
        <f ca="1">IF(((($C$3+$D$3)*2+59)&lt;=2900)*AND($M$3=1),($C$3+$D$3)*2+59,IF(((($C$3+$D$3)*2+59)&gt;=2855),2*F72,($C$3+$D$3)*2+59))</f>
        <v>59</v>
      </c>
    </row>
    <row r="67" spans="1:14" ht="13.2">
      <c r="A67" s="260"/>
      <c r="E67" t="s">
        <v>35</v>
      </c>
      <c r="L67" s="104"/>
    </row>
    <row r="68" spans="1:14" ht="25.8">
      <c r="A68" s="260"/>
      <c r="B68" s="94" t="s">
        <v>71</v>
      </c>
      <c r="C68" s="94"/>
      <c r="D68" s="94"/>
      <c r="F68" s="261" t="s">
        <v>58</v>
      </c>
      <c r="G68" s="261"/>
      <c r="H68" s="87" t="s">
        <v>59</v>
      </c>
      <c r="I68" s="95" t="s">
        <v>63</v>
      </c>
      <c r="L68" s="104"/>
    </row>
    <row r="69" spans="1:14" ht="13.2">
      <c r="A69" s="260"/>
      <c r="B69" s="96">
        <f>ROUNDUP((D63/2)+1,0)</f>
        <v>1</v>
      </c>
      <c r="C69" s="97">
        <f>E63+6</f>
        <v>6</v>
      </c>
      <c r="D69" s="98">
        <f>D63+1</f>
        <v>1</v>
      </c>
      <c r="E69" s="89" t="s">
        <v>72</v>
      </c>
      <c r="F69" s="87">
        <f>C63+D63+51</f>
        <v>51</v>
      </c>
      <c r="G69" s="87">
        <f>SUM(B69:D69)</f>
        <v>8</v>
      </c>
      <c r="H69" s="90">
        <f>((F69*G69)/1000000)*2</f>
        <v>8.1599999999999999E-4</v>
      </c>
      <c r="I69" s="100"/>
      <c r="L69" s="104"/>
    </row>
    <row r="70" spans="1:14" ht="13.2">
      <c r="A70" s="260"/>
      <c r="B70" s="101">
        <f>ROUNDUP((D63/2)+2,0)</f>
        <v>2</v>
      </c>
      <c r="C70" s="102">
        <f>E63+8</f>
        <v>8</v>
      </c>
      <c r="D70" s="103">
        <f>D63+2</f>
        <v>2</v>
      </c>
      <c r="E70" s="89" t="s">
        <v>72</v>
      </c>
      <c r="F70" s="87">
        <f>C63+D63+53</f>
        <v>53</v>
      </c>
      <c r="G70" s="87">
        <f>SUM(B70:D70)</f>
        <v>12</v>
      </c>
      <c r="H70" s="90">
        <f>((F70*G70)/1000000)*2</f>
        <v>1.2719999999999999E-3</v>
      </c>
      <c r="I70" s="99">
        <v>500</v>
      </c>
      <c r="L70" s="104"/>
    </row>
    <row r="71" spans="1:14" ht="13.2">
      <c r="A71" s="260"/>
      <c r="B71" s="101">
        <f>ROUNDUP((D63/2)+3,0)</f>
        <v>3</v>
      </c>
      <c r="C71" s="102">
        <f>E63+10</f>
        <v>10</v>
      </c>
      <c r="D71" s="103">
        <f>D63+3</f>
        <v>3</v>
      </c>
      <c r="E71" s="89" t="s">
        <v>72</v>
      </c>
      <c r="F71" s="87">
        <f>C63+D63+55</f>
        <v>55</v>
      </c>
      <c r="G71" s="87">
        <f>SUM(B71:D71)</f>
        <v>16</v>
      </c>
      <c r="H71" s="90">
        <f>((F71*G71)/1000000)*2</f>
        <v>1.7600000000000001E-3</v>
      </c>
      <c r="I71" s="6"/>
      <c r="L71" s="104"/>
    </row>
    <row r="72" spans="1:14" ht="13.2">
      <c r="A72" s="260"/>
      <c r="B72" s="101">
        <f>ROUNDUP((D63/2)+4,0)</f>
        <v>4</v>
      </c>
      <c r="C72" s="102">
        <f>E63+14</f>
        <v>14</v>
      </c>
      <c r="D72" s="103">
        <f>D63+4</f>
        <v>4</v>
      </c>
      <c r="E72" s="89" t="s">
        <v>72</v>
      </c>
      <c r="F72" s="87">
        <f>C63+D63+59</f>
        <v>59</v>
      </c>
      <c r="G72" s="87">
        <f>SUM(B72:D72)</f>
        <v>22</v>
      </c>
      <c r="H72" s="90">
        <f>((F72*G72)/1000000)*2</f>
        <v>2.5959999999999998E-3</v>
      </c>
      <c r="I72" s="6"/>
      <c r="L72" s="104"/>
    </row>
    <row r="73" spans="1:14" ht="12.9" customHeight="1">
      <c r="L73" s="104"/>
      <c r="M73" s="265" t="s">
        <v>65</v>
      </c>
    </row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  <c r="L74" s="104"/>
      <c r="M74" s="265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 ca="1">IF(((($C$3+$D$3)*2+47)&lt;=2900)*AND($M$3=1),($C$3+$D$3)*2+47,IF(((($C$3+$D$3)*2+47)&gt;=2855),2*F81,($C$3+$D$3)*2+47))</f>
        <v>47</v>
      </c>
      <c r="G75" s="87">
        <f>SUM(B81:D81)</f>
        <v>8</v>
      </c>
      <c r="H75" s="90">
        <f ca="1">(F75*G75)/1000000</f>
        <v>3.7599999999999998E-4</v>
      </c>
      <c r="I75" s="91">
        <f ca="1">I82/H75</f>
        <v>1329787.2340425532</v>
      </c>
      <c r="J75" s="92">
        <f>C75+D75+20</f>
        <v>20</v>
      </c>
      <c r="K75" s="92">
        <f>(D75/2)+D75+E75+20</f>
        <v>20</v>
      </c>
      <c r="L75" s="88">
        <f>IF((E75+D75/2)&lt;1590,1,0)</f>
        <v>1</v>
      </c>
      <c r="M75" s="88">
        <f ca="1">TEXO!G62</f>
        <v>0</v>
      </c>
      <c r="N75">
        <f ca="1">IF(((($C$3+$D$3)*2+47)&lt;=2900)*AND($M$3=1),($C$3+$D$3)*2+47,IF(((($C$3+$D$3)*2+47)&gt;=2855),2*F81,($C$3+$D$3)*2+47))</f>
        <v>47</v>
      </c>
    </row>
    <row r="76" spans="1:14" ht="13.2">
      <c r="A76" s="260"/>
      <c r="B76" s="89" t="s">
        <v>68</v>
      </c>
      <c r="C76" s="6"/>
      <c r="D76" s="6"/>
      <c r="E76" s="6"/>
      <c r="F76" s="87">
        <f ca="1">IF(((($C$3+$D$3)*2+51)&lt;=2900)*AND($M$3=1),($C$3+$D$3)*2+51,IF(((($C$3+$D$3)*2+51)&gt;=2855),2*F82,($C$3+$D$3)*2+51))</f>
        <v>51</v>
      </c>
      <c r="G76" s="87">
        <f>SUM(B82:D82)</f>
        <v>12</v>
      </c>
      <c r="H76" s="93">
        <f ca="1">F76*G76/1000000</f>
        <v>6.1200000000000002E-4</v>
      </c>
      <c r="I76" s="91">
        <f ca="1">I82/H76</f>
        <v>816993.46405228751</v>
      </c>
      <c r="J76" s="92">
        <f>C75+D75+20</f>
        <v>20</v>
      </c>
      <c r="K76" s="92">
        <f>(D75/2)+D75+E75+20</f>
        <v>20</v>
      </c>
      <c r="L76" s="104"/>
      <c r="N76">
        <f ca="1">IF(((($C$3+$D$3)*2+51)&lt;=2900)*AND($M$3=1),($C$3+$D$3)*2+51,IF(((($C$3+$D$3)*2+51)&gt;=2855),2*F82,($C$3+$D$3)*2+51))</f>
        <v>51</v>
      </c>
    </row>
    <row r="77" spans="1:14" ht="13.2">
      <c r="A77" s="260"/>
      <c r="B77" s="89" t="s">
        <v>69</v>
      </c>
      <c r="C77" s="6"/>
      <c r="D77" s="6"/>
      <c r="E77" s="6"/>
      <c r="F77" s="87">
        <f ca="1">IF(((($C$3+$D$3)*2+55)&lt;=2900)*AND($M$3=1),($C$3+$D$3)*2+55,IF(((($C$3+$D$3)*2+55)&gt;=2855),2*F83,($C$3+$D$3)*2+55))</f>
        <v>55</v>
      </c>
      <c r="G77" s="87">
        <f>SUM(B83:D83)</f>
        <v>16</v>
      </c>
      <c r="H77" s="93">
        <f ca="1">F77*G77/1000000</f>
        <v>8.8000000000000003E-4</v>
      </c>
      <c r="I77" s="91">
        <f ca="1">I82/H77</f>
        <v>568181.81818181812</v>
      </c>
      <c r="J77" s="92">
        <f>C75+D75+40</f>
        <v>40</v>
      </c>
      <c r="K77" s="92">
        <f>(D75/2)+D75+E75+40</f>
        <v>40</v>
      </c>
      <c r="L77" s="104"/>
      <c r="N77">
        <f ca="1">IF(((($C$3+$D$3)*2+55)&lt;=2900)*AND($M$3=1),($C$3+$D$3)*2+55,IF(((($C$3+$D$3)*2+55)&gt;=2855),2*F83,($C$3+$D$3)*2+55))</f>
        <v>55</v>
      </c>
    </row>
    <row r="78" spans="1:14" ht="13.2">
      <c r="A78" s="260"/>
      <c r="B78" s="89" t="s">
        <v>70</v>
      </c>
      <c r="C78" s="6"/>
      <c r="D78" s="6"/>
      <c r="E78" s="6"/>
      <c r="F78" s="87">
        <f ca="1">IF(((($C$3+$D$3)*2+63)&lt;=2900)*AND($M$3=1),($C$3+$D$3)*2+63,IF(((($C$3+$D$3)*2+63)&gt;=2855),2*F84,($C$3+$D$3)*2+63))</f>
        <v>63</v>
      </c>
      <c r="G78" s="87">
        <f>SUM(B84:D84)</f>
        <v>22</v>
      </c>
      <c r="H78" s="93">
        <f ca="1">F78*G78/1000000</f>
        <v>1.3860000000000001E-3</v>
      </c>
      <c r="I78" s="91">
        <f ca="1">I82/H78</f>
        <v>360750.36075036071</v>
      </c>
      <c r="J78" s="92">
        <f>C75+D75+40</f>
        <v>40</v>
      </c>
      <c r="K78" s="92">
        <f>(D75/2)+D75+E75+40</f>
        <v>40</v>
      </c>
      <c r="L78" s="104"/>
      <c r="N78">
        <f ca="1">IF(((($C$3+$D$3)*2+59)&lt;=2900)*AND($M$3=1),($C$3+$D$3)*2+59,IF(((($C$3+$D$3)*2+59)&gt;=2855),2*F84,($C$3+$D$3)*2+59))</f>
        <v>59</v>
      </c>
    </row>
    <row r="79" spans="1:14" ht="13.2">
      <c r="A79" s="260"/>
      <c r="E79" t="s">
        <v>35</v>
      </c>
      <c r="L79" s="104"/>
    </row>
    <row r="80" spans="1:14" ht="25.8">
      <c r="A80" s="260"/>
      <c r="B80" s="94" t="s">
        <v>71</v>
      </c>
      <c r="C80" s="94"/>
      <c r="D80" s="94"/>
      <c r="F80" s="261" t="s">
        <v>58</v>
      </c>
      <c r="G80" s="261"/>
      <c r="H80" s="87" t="s">
        <v>59</v>
      </c>
      <c r="I80" s="95" t="s">
        <v>63</v>
      </c>
      <c r="L80" s="104"/>
    </row>
    <row r="81" spans="1:14" ht="13.2">
      <c r="A81" s="260"/>
      <c r="B81" s="96">
        <f>ROUNDUP((D75/2)+1,0)</f>
        <v>1</v>
      </c>
      <c r="C81" s="97">
        <f>E75+6</f>
        <v>6</v>
      </c>
      <c r="D81" s="98">
        <f>D75+1</f>
        <v>1</v>
      </c>
      <c r="E81" s="89" t="s">
        <v>72</v>
      </c>
      <c r="F81" s="87">
        <f>C75+D75+51</f>
        <v>51</v>
      </c>
      <c r="G81" s="87">
        <f>SUM(B81:D81)</f>
        <v>8</v>
      </c>
      <c r="H81" s="90">
        <f>((F81*G81)/1000000)*2</f>
        <v>8.1599999999999999E-4</v>
      </c>
      <c r="I81" s="100"/>
      <c r="L81" s="104"/>
    </row>
    <row r="82" spans="1:14" ht="13.2">
      <c r="A82" s="260"/>
      <c r="B82" s="101">
        <f>ROUNDUP((D75/2)+2,0)</f>
        <v>2</v>
      </c>
      <c r="C82" s="102">
        <f>E75+8</f>
        <v>8</v>
      </c>
      <c r="D82" s="103">
        <f>D75+2</f>
        <v>2</v>
      </c>
      <c r="E82" s="89" t="s">
        <v>72</v>
      </c>
      <c r="F82" s="87">
        <f>C75+D75+53</f>
        <v>53</v>
      </c>
      <c r="G82" s="87">
        <f>SUM(B82:D82)</f>
        <v>12</v>
      </c>
      <c r="H82" s="90">
        <f>((F82*G82)/1000000)*2</f>
        <v>1.2719999999999999E-3</v>
      </c>
      <c r="I82" s="99">
        <v>500</v>
      </c>
      <c r="L82" s="104"/>
    </row>
    <row r="83" spans="1:14" ht="13.2">
      <c r="A83" s="260"/>
      <c r="B83" s="101">
        <f>ROUNDUP((D75/2)+3,0)</f>
        <v>3</v>
      </c>
      <c r="C83" s="102">
        <f>E75+10</f>
        <v>10</v>
      </c>
      <c r="D83" s="103">
        <f>D75+3</f>
        <v>3</v>
      </c>
      <c r="E83" s="89" t="s">
        <v>72</v>
      </c>
      <c r="F83" s="87">
        <f>C75+D75+55</f>
        <v>55</v>
      </c>
      <c r="G83" s="87">
        <f>SUM(B83:D83)</f>
        <v>16</v>
      </c>
      <c r="H83" s="90">
        <f>((F83*G83)/1000000)*2</f>
        <v>1.7600000000000001E-3</v>
      </c>
      <c r="I83" s="6"/>
      <c r="L83" s="104"/>
    </row>
    <row r="84" spans="1:14" ht="13.2">
      <c r="A84" s="260"/>
      <c r="B84" s="101">
        <f>ROUNDUP((D75/2)+4,0)</f>
        <v>4</v>
      </c>
      <c r="C84" s="102">
        <f>E75+14</f>
        <v>14</v>
      </c>
      <c r="D84" s="103">
        <f>D75+4</f>
        <v>4</v>
      </c>
      <c r="E84" s="89" t="s">
        <v>72</v>
      </c>
      <c r="F84" s="87">
        <f>C75+D75+59</f>
        <v>59</v>
      </c>
      <c r="G84" s="87">
        <f>SUM(B84:D84)</f>
        <v>22</v>
      </c>
      <c r="H84" s="90">
        <f>((F84*G84)/1000000)*2</f>
        <v>2.5959999999999998E-3</v>
      </c>
      <c r="I84" s="6"/>
      <c r="L84" s="104"/>
    </row>
    <row r="85" spans="1:14" ht="12.9" customHeight="1">
      <c r="L85" s="104"/>
      <c r="M85" s="265" t="s">
        <v>65</v>
      </c>
    </row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  <c r="L86" s="104"/>
      <c r="M86" s="265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 ca="1">IF(((($C$3+$D$3)*2+47)&lt;=2900)*AND($M$3=1),($C$3+$D$3)*2+47,IF(((($C$3+$D$3)*2+47)&gt;=2855),2*F93,($C$3+$D$3)*2+47))</f>
        <v>47</v>
      </c>
      <c r="G87" s="87">
        <f>SUM(B93:D93)</f>
        <v>8</v>
      </c>
      <c r="H87" s="90">
        <f ca="1">(F87*G87)/1000000</f>
        <v>3.7599999999999998E-4</v>
      </c>
      <c r="I87" s="91">
        <f ca="1">I94/H87</f>
        <v>1329787.2340425532</v>
      </c>
      <c r="J87" s="92">
        <f>C87+D87+20</f>
        <v>20</v>
      </c>
      <c r="K87" s="92">
        <f>(D87/2)+D87+E87+20</f>
        <v>20</v>
      </c>
      <c r="L87" s="88">
        <f>IF((E87+D87/2)&lt;1590,1,0)</f>
        <v>1</v>
      </c>
      <c r="M87" s="88">
        <f ca="1">TEXO!G71</f>
        <v>0</v>
      </c>
      <c r="N87">
        <f ca="1">IF(((($C$3+$D$3)*2+47)&lt;=2900)*AND($M$3=1),($C$3+$D$3)*2+47,IF(((($C$3+$D$3)*2+47)&gt;=2855),2*F93,($C$3+$D$3)*2+47))</f>
        <v>47</v>
      </c>
    </row>
    <row r="88" spans="1:14" ht="13.2">
      <c r="A88" s="260"/>
      <c r="B88" s="89" t="s">
        <v>68</v>
      </c>
      <c r="C88" s="6"/>
      <c r="D88" s="6"/>
      <c r="E88" s="6"/>
      <c r="F88" s="87">
        <f ca="1">IF(((($C$3+$D$3)*2+51)&lt;=2900)*AND($M$3=1),($C$3+$D$3)*2+51,IF(((($C$3+$D$3)*2+51)&gt;=2855),2*F94,($C$3+$D$3)*2+51))</f>
        <v>51</v>
      </c>
      <c r="G88" s="87">
        <f>SUM(B94:D94)</f>
        <v>12</v>
      </c>
      <c r="H88" s="93">
        <f ca="1">F88*G88/1000000</f>
        <v>6.1200000000000002E-4</v>
      </c>
      <c r="I88" s="91">
        <f ca="1">I94/H88</f>
        <v>816993.46405228751</v>
      </c>
      <c r="J88" s="92">
        <f>C87+D87+20</f>
        <v>20</v>
      </c>
      <c r="K88" s="92">
        <f>(D87/2)+D87+E87+20</f>
        <v>20</v>
      </c>
      <c r="L88" s="104"/>
      <c r="N88">
        <f ca="1">IF(((($C$3+$D$3)*2+51)&lt;=2900)*AND($M$3=1),($C$3+$D$3)*2+51,IF(((($C$3+$D$3)*2+51)&gt;=2855),2*F94,($C$3+$D$3)*2+51))</f>
        <v>51</v>
      </c>
    </row>
    <row r="89" spans="1:14" ht="13.2">
      <c r="A89" s="260"/>
      <c r="B89" s="89" t="s">
        <v>69</v>
      </c>
      <c r="C89" s="6"/>
      <c r="D89" s="6"/>
      <c r="E89" s="6"/>
      <c r="F89" s="87">
        <f ca="1">IF(((($C$3+$D$3)*2+55)&lt;=2900)*AND($M$3=1),($C$3+$D$3)*2+55,IF(((($C$3+$D$3)*2+55)&gt;=2855),2*F95,($C$3+$D$3)*2+55))</f>
        <v>55</v>
      </c>
      <c r="G89" s="87">
        <f>SUM(B95:D95)</f>
        <v>16</v>
      </c>
      <c r="H89" s="93">
        <f ca="1">F89*G89/1000000</f>
        <v>8.8000000000000003E-4</v>
      </c>
      <c r="I89" s="91">
        <f ca="1">I94/H89</f>
        <v>568181.81818181812</v>
      </c>
      <c r="J89" s="92">
        <f>C87+D87+40</f>
        <v>40</v>
      </c>
      <c r="K89" s="92">
        <f>(D87/2)+D87+E87+40</f>
        <v>40</v>
      </c>
      <c r="L89" s="104"/>
      <c r="N89">
        <f ca="1">IF(((($C$3+$D$3)*2+55)&lt;=2900)*AND($M$3=1),($C$3+$D$3)*2+55,IF(((($C$3+$D$3)*2+55)&gt;=2855),2*F95,($C$3+$D$3)*2+55))</f>
        <v>55</v>
      </c>
    </row>
    <row r="90" spans="1:14" ht="13.2">
      <c r="A90" s="260"/>
      <c r="B90" s="89" t="s">
        <v>70</v>
      </c>
      <c r="C90" s="6"/>
      <c r="D90" s="6"/>
      <c r="E90" s="6"/>
      <c r="F90" s="87">
        <f ca="1">IF(((($C$3+$D$3)*2+63)&lt;=2900)*AND($M$3=1),($C$3+$D$3)*2+63,IF(((($C$3+$D$3)*2+63)&gt;=2855),2*F96,($C$3+$D$3)*2+63))</f>
        <v>63</v>
      </c>
      <c r="G90" s="87">
        <f>SUM(B96:D96)</f>
        <v>22</v>
      </c>
      <c r="H90" s="93">
        <f ca="1">F90*G90/1000000</f>
        <v>1.3860000000000001E-3</v>
      </c>
      <c r="I90" s="91">
        <f ca="1">I94/H90</f>
        <v>360750.36075036071</v>
      </c>
      <c r="J90" s="92">
        <f>C87+D87+40</f>
        <v>40</v>
      </c>
      <c r="K90" s="92">
        <f>(D87/2)+D87+E87+40</f>
        <v>40</v>
      </c>
      <c r="L90" s="104"/>
      <c r="N90">
        <f ca="1">IF(((($C$3+$D$3)*2+59)&lt;=2900)*AND($M$3=1),($C$3+$D$3)*2+59,IF(((($C$3+$D$3)*2+59)&gt;=2855),2*F96,($C$3+$D$3)*2+59))</f>
        <v>59</v>
      </c>
    </row>
    <row r="91" spans="1:14" ht="13.2">
      <c r="A91" s="260"/>
      <c r="E91" t="s">
        <v>35</v>
      </c>
      <c r="L91" s="104"/>
    </row>
    <row r="92" spans="1:14" ht="25.8">
      <c r="A92" s="260"/>
      <c r="B92" s="94" t="s">
        <v>71</v>
      </c>
      <c r="C92" s="94"/>
      <c r="D92" s="94"/>
      <c r="F92" s="261" t="s">
        <v>58</v>
      </c>
      <c r="G92" s="261"/>
      <c r="H92" s="87" t="s">
        <v>59</v>
      </c>
      <c r="I92" s="95" t="s">
        <v>63</v>
      </c>
      <c r="L92" s="104"/>
    </row>
    <row r="93" spans="1:14" ht="13.2">
      <c r="A93" s="260"/>
      <c r="B93" s="96">
        <f>ROUNDUP((D87/2)+1,0)</f>
        <v>1</v>
      </c>
      <c r="C93" s="97">
        <f>E87+6</f>
        <v>6</v>
      </c>
      <c r="D93" s="98">
        <f>D87+1</f>
        <v>1</v>
      </c>
      <c r="E93" s="89" t="s">
        <v>72</v>
      </c>
      <c r="F93" s="87">
        <f>C87+D87+51</f>
        <v>51</v>
      </c>
      <c r="G93" s="87">
        <f>SUM(B93:D93)</f>
        <v>8</v>
      </c>
      <c r="H93" s="90">
        <f>((F93*G93)/1000000)*2</f>
        <v>8.1599999999999999E-4</v>
      </c>
      <c r="I93" s="100"/>
      <c r="L93" s="104"/>
    </row>
    <row r="94" spans="1:14" ht="13.2">
      <c r="A94" s="260"/>
      <c r="B94" s="101">
        <f>ROUNDUP((D87/2)+2,0)</f>
        <v>2</v>
      </c>
      <c r="C94" s="102">
        <f>E87+8</f>
        <v>8</v>
      </c>
      <c r="D94" s="103">
        <f>D87+2</f>
        <v>2</v>
      </c>
      <c r="E94" s="89" t="s">
        <v>72</v>
      </c>
      <c r="F94" s="87">
        <f>C87+D87+53</f>
        <v>53</v>
      </c>
      <c r="G94" s="87">
        <f>SUM(B94:D94)</f>
        <v>12</v>
      </c>
      <c r="H94" s="90">
        <f>((F94*G94)/1000000)*2</f>
        <v>1.2719999999999999E-3</v>
      </c>
      <c r="I94" s="99">
        <v>500</v>
      </c>
      <c r="L94" s="104"/>
    </row>
    <row r="95" spans="1:14" ht="13.2">
      <c r="A95" s="260"/>
      <c r="B95" s="101">
        <f>ROUNDUP((D87/2)+3,0)</f>
        <v>3</v>
      </c>
      <c r="C95" s="102">
        <f>E87+10</f>
        <v>10</v>
      </c>
      <c r="D95" s="103">
        <f>D87+3</f>
        <v>3</v>
      </c>
      <c r="E95" s="89" t="s">
        <v>72</v>
      </c>
      <c r="F95" s="87">
        <f>C87+D87+55</f>
        <v>55</v>
      </c>
      <c r="G95" s="87">
        <f>SUM(B95:D95)</f>
        <v>16</v>
      </c>
      <c r="H95" s="90">
        <f>((F95*G95)/1000000)*2</f>
        <v>1.7600000000000001E-3</v>
      </c>
      <c r="I95" s="6"/>
      <c r="L95" s="104"/>
    </row>
    <row r="96" spans="1:14" ht="13.2">
      <c r="A96" s="260"/>
      <c r="B96" s="101">
        <f>ROUNDUP((D87/2)+4,0)</f>
        <v>4</v>
      </c>
      <c r="C96" s="102">
        <f>E87+14</f>
        <v>14</v>
      </c>
      <c r="D96" s="103">
        <f>D87+4</f>
        <v>4</v>
      </c>
      <c r="E96" s="89" t="s">
        <v>72</v>
      </c>
      <c r="F96" s="87">
        <f>C87+D87+59</f>
        <v>59</v>
      </c>
      <c r="G96" s="87">
        <f>SUM(B96:D96)</f>
        <v>22</v>
      </c>
      <c r="H96" s="90">
        <f>((F96*G96)/1000000)*2</f>
        <v>2.5959999999999998E-3</v>
      </c>
      <c r="I96" s="6"/>
      <c r="L96" s="104"/>
    </row>
    <row r="97" spans="1:14" ht="12.9" customHeight="1">
      <c r="L97" s="104"/>
      <c r="M97" s="265" t="s">
        <v>65</v>
      </c>
    </row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  <c r="L98" s="104"/>
      <c r="M98" s="265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 ca="1">IF(((($C$3+$D$3)*2+47)&lt;=2900)*AND($M$3=1),($C$3+$D$3)*2+47,IF(((($C$3+$D$3)*2+47)&gt;=2855),2*F105,($C$3+$D$3)*2+47))</f>
        <v>47</v>
      </c>
      <c r="G99" s="87">
        <f>SUM(B105:D105)</f>
        <v>8</v>
      </c>
      <c r="H99" s="90">
        <f ca="1">(F99*G99)/1000000</f>
        <v>3.7599999999999998E-4</v>
      </c>
      <c r="I99" s="91">
        <f ca="1">I106/H99</f>
        <v>1329787.2340425532</v>
      </c>
      <c r="J99" s="92">
        <f>C99+D99+20</f>
        <v>20</v>
      </c>
      <c r="K99" s="92">
        <f>(D99/2)+D99+E99+20</f>
        <v>20</v>
      </c>
      <c r="L99" s="88">
        <f>IF((E99+D99/2)&lt;1590,1,0)</f>
        <v>1</v>
      </c>
      <c r="M99" s="88">
        <f ca="1">TEXO!G80</f>
        <v>0</v>
      </c>
      <c r="N99">
        <f ca="1">IF(((($C$3+$D$3)*2+47)&lt;=2900)*AND($M$3=1),($C$3+$D$3)*2+47,IF(((($C$3+$D$3)*2+47)&gt;=2855),2*F105,($C$3+$D$3)*2+47))</f>
        <v>47</v>
      </c>
    </row>
    <row r="100" spans="1:14" ht="13.2">
      <c r="A100" s="260"/>
      <c r="B100" s="89" t="s">
        <v>68</v>
      </c>
      <c r="C100" s="6"/>
      <c r="D100" s="6"/>
      <c r="E100" s="6"/>
      <c r="F100" s="87">
        <f ca="1">IF(((($C$3+$D$3)*2+51)&lt;=2900)*AND($M$3=1),($C$3+$D$3)*2+51,IF(((($C$3+$D$3)*2+51)&gt;=2855),2*F106,($C$3+$D$3)*2+51))</f>
        <v>51</v>
      </c>
      <c r="G100" s="87">
        <f>SUM(B106:D106)</f>
        <v>12</v>
      </c>
      <c r="H100" s="93">
        <f ca="1">F100*G100/1000000</f>
        <v>6.1200000000000002E-4</v>
      </c>
      <c r="I100" s="91">
        <f ca="1">I106/H100</f>
        <v>816993.46405228751</v>
      </c>
      <c r="J100" s="92">
        <f>C99+D99+20</f>
        <v>20</v>
      </c>
      <c r="K100" s="92">
        <f>(D99/2)+D99+E99+20</f>
        <v>20</v>
      </c>
      <c r="L100" s="104"/>
      <c r="N100">
        <f ca="1">IF(((($C$3+$D$3)*2+51)&lt;=2900)*AND($M$3=1),($C$3+$D$3)*2+51,IF(((($C$3+$D$3)*2+51)&gt;=2855),2*F106,($C$3+$D$3)*2+51))</f>
        <v>51</v>
      </c>
    </row>
    <row r="101" spans="1:14" ht="13.2">
      <c r="A101" s="260"/>
      <c r="B101" s="89" t="s">
        <v>69</v>
      </c>
      <c r="C101" s="6"/>
      <c r="D101" s="6"/>
      <c r="E101" s="6"/>
      <c r="F101" s="87">
        <f ca="1">IF(((($C$3+$D$3)*2+55)&lt;=2900)*AND($M$3=1),($C$3+$D$3)*2+55,IF(((($C$3+$D$3)*2+55)&gt;=2855),2*F107,($C$3+$D$3)*2+55))</f>
        <v>55</v>
      </c>
      <c r="G101" s="87">
        <f>SUM(B107:D107)</f>
        <v>16</v>
      </c>
      <c r="H101" s="93">
        <f ca="1">F101*G101/1000000</f>
        <v>8.8000000000000003E-4</v>
      </c>
      <c r="I101" s="91">
        <f ca="1">I106/H101</f>
        <v>568181.81818181812</v>
      </c>
      <c r="J101" s="92">
        <f>C99+D99+40</f>
        <v>40</v>
      </c>
      <c r="K101" s="92">
        <f>(D99/2)+D99+E99+40</f>
        <v>40</v>
      </c>
      <c r="L101" s="104"/>
      <c r="N101">
        <f ca="1">IF(((($C$3+$D$3)*2+55)&lt;=2900)*AND($M$3=1),($C$3+$D$3)*2+55,IF(((($C$3+$D$3)*2+55)&gt;=2855),2*F107,($C$3+$D$3)*2+55))</f>
        <v>55</v>
      </c>
    </row>
    <row r="102" spans="1:14" ht="13.2">
      <c r="A102" s="260"/>
      <c r="B102" s="89" t="s">
        <v>70</v>
      </c>
      <c r="C102" s="6"/>
      <c r="D102" s="6"/>
      <c r="E102" s="6"/>
      <c r="F102" s="87">
        <f ca="1">IF(((($C$3+$D$3)*2+63)&lt;=2900)*AND($M$3=1),($C$3+$D$3)*2+63,IF(((($C$3+$D$3)*2+63)&gt;=2855),2*F108,($C$3+$D$3)*2+63))</f>
        <v>63</v>
      </c>
      <c r="G102" s="87">
        <f>SUM(B108:D108)</f>
        <v>22</v>
      </c>
      <c r="H102" s="93">
        <f ca="1">F102*G102/1000000</f>
        <v>1.3860000000000001E-3</v>
      </c>
      <c r="I102" s="91">
        <f ca="1">I106/H102</f>
        <v>360750.36075036071</v>
      </c>
      <c r="J102" s="92">
        <f>C99+D99+40</f>
        <v>40</v>
      </c>
      <c r="K102" s="92">
        <f>(D99/2)+D99+E99+40</f>
        <v>40</v>
      </c>
      <c r="L102" s="104"/>
      <c r="N102">
        <f ca="1">IF(((($C$3+$D$3)*2+59)&lt;=2900)*AND($M$3=1),($C$3+$D$3)*2+59,IF(((($C$3+$D$3)*2+59)&gt;=2855),2*F108,($C$3+$D$3)*2+59))</f>
        <v>59</v>
      </c>
    </row>
    <row r="103" spans="1:14" ht="13.2">
      <c r="A103" s="260"/>
      <c r="E103" t="s">
        <v>35</v>
      </c>
      <c r="L103" s="104"/>
    </row>
    <row r="104" spans="1:14" ht="25.8">
      <c r="A104" s="260"/>
      <c r="B104" s="94" t="s">
        <v>71</v>
      </c>
      <c r="C104" s="94"/>
      <c r="D104" s="94"/>
      <c r="F104" s="261" t="s">
        <v>58</v>
      </c>
      <c r="G104" s="261"/>
      <c r="H104" s="87" t="s">
        <v>59</v>
      </c>
      <c r="I104" s="95" t="s">
        <v>63</v>
      </c>
      <c r="L104" s="104"/>
    </row>
    <row r="105" spans="1:14" ht="13.2">
      <c r="A105" s="260"/>
      <c r="B105" s="96">
        <f>ROUNDUP((D99/2)+1,0)</f>
        <v>1</v>
      </c>
      <c r="C105" s="97">
        <f>E99+6</f>
        <v>6</v>
      </c>
      <c r="D105" s="98">
        <f>D99+1</f>
        <v>1</v>
      </c>
      <c r="E105" s="89" t="s">
        <v>72</v>
      </c>
      <c r="F105" s="87">
        <f>C99+D99+51</f>
        <v>51</v>
      </c>
      <c r="G105" s="87">
        <f>SUM(B105:D105)</f>
        <v>8</v>
      </c>
      <c r="H105" s="90">
        <f>((F105*G105)/1000000)*2</f>
        <v>8.1599999999999999E-4</v>
      </c>
      <c r="I105" s="100"/>
      <c r="L105" s="104"/>
    </row>
    <row r="106" spans="1:14" ht="13.2">
      <c r="A106" s="260"/>
      <c r="B106" s="101">
        <f>ROUNDUP((D99/2)+2,0)</f>
        <v>2</v>
      </c>
      <c r="C106" s="102">
        <f>E99+8</f>
        <v>8</v>
      </c>
      <c r="D106" s="103">
        <f>D99+2</f>
        <v>2</v>
      </c>
      <c r="E106" s="89" t="s">
        <v>72</v>
      </c>
      <c r="F106" s="87">
        <f>C99+D99+53</f>
        <v>53</v>
      </c>
      <c r="G106" s="87">
        <f>SUM(B106:D106)</f>
        <v>12</v>
      </c>
      <c r="H106" s="90">
        <f>((F106*G106)/1000000)*2</f>
        <v>1.2719999999999999E-3</v>
      </c>
      <c r="I106" s="99">
        <v>500</v>
      </c>
      <c r="L106" s="104"/>
    </row>
    <row r="107" spans="1:14" ht="13.2">
      <c r="A107" s="260"/>
      <c r="B107" s="101">
        <f>ROUNDUP((D99/2)+3,0)</f>
        <v>3</v>
      </c>
      <c r="C107" s="102">
        <f>E99+10</f>
        <v>10</v>
      </c>
      <c r="D107" s="103">
        <f>D99+3</f>
        <v>3</v>
      </c>
      <c r="E107" s="89" t="s">
        <v>72</v>
      </c>
      <c r="F107" s="87">
        <f>C99+D99+55</f>
        <v>55</v>
      </c>
      <c r="G107" s="87">
        <f>SUM(B107:D107)</f>
        <v>16</v>
      </c>
      <c r="H107" s="90">
        <f>((F107*G107)/1000000)*2</f>
        <v>1.7600000000000001E-3</v>
      </c>
      <c r="I107" s="6"/>
      <c r="L107" s="104"/>
    </row>
    <row r="108" spans="1:14" ht="13.2">
      <c r="A108" s="260"/>
      <c r="B108" s="101">
        <f>ROUNDUP((D99/2)+4,0)</f>
        <v>4</v>
      </c>
      <c r="C108" s="102">
        <f>E99+14</f>
        <v>14</v>
      </c>
      <c r="D108" s="103">
        <f>D99+4</f>
        <v>4</v>
      </c>
      <c r="E108" s="89" t="s">
        <v>72</v>
      </c>
      <c r="F108" s="87">
        <f>C99+D99+59</f>
        <v>59</v>
      </c>
      <c r="G108" s="87">
        <f>SUM(B108:D108)</f>
        <v>22</v>
      </c>
      <c r="H108" s="90">
        <f>((F108*G108)/1000000)*2</f>
        <v>2.5959999999999998E-3</v>
      </c>
      <c r="I108" s="6"/>
      <c r="L108" s="104"/>
    </row>
    <row r="109" spans="1:14" ht="12.9" customHeight="1">
      <c r="L109" s="104"/>
      <c r="M109" s="265" t="s">
        <v>65</v>
      </c>
    </row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  <c r="L110" s="104"/>
      <c r="M110" s="265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 ca="1">IF(((($C$3+$D$3)*2+47)&lt;=2900)*AND($M$3=1),($C$3+$D$3)*2+47,IF(((($C$3+$D$3)*2+47)&gt;=2855),2*F117,($C$3+$D$3)*2+47))</f>
        <v>47</v>
      </c>
      <c r="G111" s="87">
        <f>SUM(B117:D117)</f>
        <v>8</v>
      </c>
      <c r="H111" s="90">
        <f ca="1">(F111*G111)/1000000</f>
        <v>3.7599999999999998E-4</v>
      </c>
      <c r="I111" s="91">
        <f ca="1">I118/H111</f>
        <v>1329787.2340425532</v>
      </c>
      <c r="J111" s="92">
        <f>C111+D111+20</f>
        <v>20</v>
      </c>
      <c r="K111" s="92">
        <f>(D111/2)+D111+E111+20</f>
        <v>20</v>
      </c>
      <c r="L111" s="88">
        <f>IF((E111+D111/2)&lt;1590,1,0)</f>
        <v>1</v>
      </c>
      <c r="M111" s="88">
        <f ca="1">TEXO!G89</f>
        <v>0</v>
      </c>
      <c r="N111">
        <f ca="1">IF(((($C$3+$D$3)*2+47)&lt;=2900)*AND($M$3=1),($C$3+$D$3)*2+47,IF(((($C$3+$D$3)*2+47)&gt;=2855),2*F117,($C$3+$D$3)*2+47))</f>
        <v>47</v>
      </c>
    </row>
    <row r="112" spans="1:14" ht="13.2">
      <c r="A112" s="260"/>
      <c r="B112" s="89" t="s">
        <v>68</v>
      </c>
      <c r="C112" s="6"/>
      <c r="D112" s="6"/>
      <c r="E112" s="6"/>
      <c r="F112" s="87">
        <f ca="1">IF(((($C$3+$D$3)*2+51)&lt;=2900)*AND($M$3=1),($C$3+$D$3)*2+51,IF(((($C$3+$D$3)*2+51)&gt;=2855),2*F118,($C$3+$D$3)*2+51))</f>
        <v>51</v>
      </c>
      <c r="G112" s="87">
        <f>SUM(B118:D118)</f>
        <v>12</v>
      </c>
      <c r="H112" s="93">
        <f ca="1">F112*G112/1000000</f>
        <v>6.1200000000000002E-4</v>
      </c>
      <c r="I112" s="91">
        <f ca="1">I118/H112</f>
        <v>816993.46405228751</v>
      </c>
      <c r="J112" s="92">
        <f>C111+D111+20</f>
        <v>20</v>
      </c>
      <c r="K112" s="92">
        <f>(D111/2)+D111+E111+20</f>
        <v>20</v>
      </c>
      <c r="L112" s="104"/>
      <c r="N112">
        <f ca="1">IF(((($C$3+$D$3)*2+51)&lt;=2900)*AND($M$3=1),($C$3+$D$3)*2+51,IF(((($C$3+$D$3)*2+51)&gt;=2855),2*F118,($C$3+$D$3)*2+51))</f>
        <v>51</v>
      </c>
    </row>
    <row r="113" spans="1:14" ht="13.2">
      <c r="A113" s="260"/>
      <c r="B113" s="89" t="s">
        <v>69</v>
      </c>
      <c r="C113" s="6"/>
      <c r="D113" s="6"/>
      <c r="E113" s="6"/>
      <c r="F113" s="87">
        <f ca="1">IF(((($C$3+$D$3)*2+55)&lt;=2900)*AND($M$3=1),($C$3+$D$3)*2+55,IF(((($C$3+$D$3)*2+55)&gt;=2855),2*F119,($C$3+$D$3)*2+55))</f>
        <v>55</v>
      </c>
      <c r="G113" s="87">
        <f>SUM(B119:D119)</f>
        <v>16</v>
      </c>
      <c r="H113" s="93">
        <f ca="1">F113*G113/1000000</f>
        <v>8.8000000000000003E-4</v>
      </c>
      <c r="I113" s="91">
        <f ca="1">I118/H113</f>
        <v>568181.81818181812</v>
      </c>
      <c r="J113" s="92">
        <f>C111+D111+40</f>
        <v>40</v>
      </c>
      <c r="K113" s="92">
        <f>(D111/2)+D111+E111+40</f>
        <v>40</v>
      </c>
      <c r="L113" s="104"/>
      <c r="N113">
        <f ca="1">IF(((($C$3+$D$3)*2+55)&lt;=2900)*AND($M$3=1),($C$3+$D$3)*2+55,IF(((($C$3+$D$3)*2+55)&gt;=2855),2*F119,($C$3+$D$3)*2+55))</f>
        <v>55</v>
      </c>
    </row>
    <row r="114" spans="1:14" ht="13.2">
      <c r="A114" s="260"/>
      <c r="B114" s="89" t="s">
        <v>70</v>
      </c>
      <c r="C114" s="6"/>
      <c r="D114" s="6"/>
      <c r="E114" s="6"/>
      <c r="F114" s="87">
        <f ca="1">IF(((($C$3+$D$3)*2+63)&lt;=2900)*AND($M$3=1),($C$3+$D$3)*2+63,IF(((($C$3+$D$3)*2+63)&gt;=2855),2*F120,($C$3+$D$3)*2+63))</f>
        <v>63</v>
      </c>
      <c r="G114" s="87">
        <f>SUM(B120:D120)</f>
        <v>22</v>
      </c>
      <c r="H114" s="93">
        <f ca="1">F114*G114/1000000</f>
        <v>1.3860000000000001E-3</v>
      </c>
      <c r="I114" s="91">
        <f ca="1">I118/H114</f>
        <v>360750.36075036071</v>
      </c>
      <c r="J114" s="92">
        <f>C111+D111+40</f>
        <v>40</v>
      </c>
      <c r="K114" s="92">
        <f>(D111/2)+D111+E111+40</f>
        <v>40</v>
      </c>
      <c r="L114" s="104"/>
      <c r="N114">
        <f ca="1">IF(((($C$3+$D$3)*2+59)&lt;=2900)*AND($M$3=1),($C$3+$D$3)*2+59,IF(((($C$3+$D$3)*2+59)&gt;=2855),2*F120,($C$3+$D$3)*2+59))</f>
        <v>59</v>
      </c>
    </row>
    <row r="115" spans="1:14" ht="13.2">
      <c r="A115" s="260"/>
      <c r="E115" t="s">
        <v>35</v>
      </c>
      <c r="L115" s="104"/>
    </row>
    <row r="116" spans="1:14" ht="25.8">
      <c r="A116" s="260"/>
      <c r="B116" s="94" t="s">
        <v>71</v>
      </c>
      <c r="C116" s="94"/>
      <c r="D116" s="94"/>
      <c r="F116" s="261" t="s">
        <v>58</v>
      </c>
      <c r="G116" s="261"/>
      <c r="H116" s="87" t="s">
        <v>59</v>
      </c>
      <c r="I116" s="95" t="s">
        <v>63</v>
      </c>
      <c r="L116" s="104"/>
    </row>
    <row r="117" spans="1:14" ht="13.2">
      <c r="A117" s="260"/>
      <c r="B117" s="96">
        <f>ROUNDUP((D111/2)+1,0)</f>
        <v>1</v>
      </c>
      <c r="C117" s="97">
        <f>E111+6</f>
        <v>6</v>
      </c>
      <c r="D117" s="98">
        <f>D111+1</f>
        <v>1</v>
      </c>
      <c r="E117" s="89" t="s">
        <v>72</v>
      </c>
      <c r="F117" s="87">
        <f>C111+D111+51</f>
        <v>51</v>
      </c>
      <c r="G117" s="87">
        <f>SUM(B117:D117)</f>
        <v>8</v>
      </c>
      <c r="H117" s="90">
        <f>((F117*G117)/1000000)*2</f>
        <v>8.1599999999999999E-4</v>
      </c>
      <c r="I117" s="100"/>
      <c r="L117" s="104"/>
    </row>
    <row r="118" spans="1:14" ht="13.2">
      <c r="A118" s="260"/>
      <c r="B118" s="101">
        <f>ROUNDUP((D111/2)+2,0)</f>
        <v>2</v>
      </c>
      <c r="C118" s="102">
        <f>E111+8</f>
        <v>8</v>
      </c>
      <c r="D118" s="103">
        <f>D111+2</f>
        <v>2</v>
      </c>
      <c r="E118" s="89" t="s">
        <v>72</v>
      </c>
      <c r="F118" s="87">
        <f>C111+D111+53</f>
        <v>53</v>
      </c>
      <c r="G118" s="87">
        <f>SUM(B118:D118)</f>
        <v>12</v>
      </c>
      <c r="H118" s="90">
        <f>((F118*G118)/1000000)*2</f>
        <v>1.2719999999999999E-3</v>
      </c>
      <c r="I118" s="99">
        <v>500</v>
      </c>
      <c r="L118" s="104"/>
    </row>
    <row r="119" spans="1:14" ht="13.2">
      <c r="A119" s="260"/>
      <c r="B119" s="101">
        <f>ROUNDUP((D111/2)+3,0)</f>
        <v>3</v>
      </c>
      <c r="C119" s="102">
        <f>E111+10</f>
        <v>10</v>
      </c>
      <c r="D119" s="103">
        <f>D111+3</f>
        <v>3</v>
      </c>
      <c r="E119" s="89" t="s">
        <v>72</v>
      </c>
      <c r="F119" s="87">
        <f>C111+D111+55</f>
        <v>55</v>
      </c>
      <c r="G119" s="87">
        <f>SUM(B119:D119)</f>
        <v>16</v>
      </c>
      <c r="H119" s="90">
        <f>((F119*G119)/1000000)*2</f>
        <v>1.7600000000000001E-3</v>
      </c>
      <c r="I119" s="6"/>
      <c r="L119" s="104"/>
    </row>
    <row r="120" spans="1:14" ht="13.2">
      <c r="A120" s="260"/>
      <c r="B120" s="101">
        <f>ROUNDUP((D111/2)+4,0)</f>
        <v>4</v>
      </c>
      <c r="C120" s="102">
        <f>E111+14</f>
        <v>14</v>
      </c>
      <c r="D120" s="103">
        <f>D111+4</f>
        <v>4</v>
      </c>
      <c r="E120" s="89" t="s">
        <v>72</v>
      </c>
      <c r="F120" s="87">
        <f>C111+D111+59</f>
        <v>59</v>
      </c>
      <c r="G120" s="87">
        <f>SUM(B120:D120)</f>
        <v>22</v>
      </c>
      <c r="H120" s="90">
        <f>((F120*G120)/1000000)*2</f>
        <v>2.5959999999999998E-3</v>
      </c>
      <c r="I120" s="6"/>
      <c r="L120" s="106"/>
    </row>
  </sheetData>
  <mergeCells count="51">
    <mergeCell ref="L1:L2"/>
    <mergeCell ref="M1:M2"/>
    <mergeCell ref="A2:A12"/>
    <mergeCell ref="F2:G2"/>
    <mergeCell ref="J2:K2"/>
    <mergeCell ref="F8:G8"/>
    <mergeCell ref="M13:M14"/>
    <mergeCell ref="A14:A24"/>
    <mergeCell ref="F14:G14"/>
    <mergeCell ref="J14:K14"/>
    <mergeCell ref="F20:G20"/>
    <mergeCell ref="M25:M26"/>
    <mergeCell ref="A26:A36"/>
    <mergeCell ref="F26:G26"/>
    <mergeCell ref="J26:K26"/>
    <mergeCell ref="F32:G32"/>
    <mergeCell ref="M37:M38"/>
    <mergeCell ref="A38:A48"/>
    <mergeCell ref="F38:G38"/>
    <mergeCell ref="J38:K38"/>
    <mergeCell ref="F44:G44"/>
    <mergeCell ref="M49:M50"/>
    <mergeCell ref="A50:A60"/>
    <mergeCell ref="F50:G50"/>
    <mergeCell ref="J50:K50"/>
    <mergeCell ref="F56:G56"/>
    <mergeCell ref="M61:M62"/>
    <mergeCell ref="A62:A72"/>
    <mergeCell ref="F62:G62"/>
    <mergeCell ref="J62:K62"/>
    <mergeCell ref="F68:G68"/>
    <mergeCell ref="M73:M74"/>
    <mergeCell ref="A74:A84"/>
    <mergeCell ref="F74:G74"/>
    <mergeCell ref="J74:K74"/>
    <mergeCell ref="F80:G80"/>
    <mergeCell ref="M85:M86"/>
    <mergeCell ref="A86:A96"/>
    <mergeCell ref="F86:G86"/>
    <mergeCell ref="J86:K86"/>
    <mergeCell ref="F92:G92"/>
    <mergeCell ref="M97:M98"/>
    <mergeCell ref="A98:A108"/>
    <mergeCell ref="F98:G98"/>
    <mergeCell ref="J98:K98"/>
    <mergeCell ref="F104:G104"/>
    <mergeCell ref="M109:M110"/>
    <mergeCell ref="A110:A120"/>
    <mergeCell ref="F110:G110"/>
    <mergeCell ref="J110:K110"/>
    <mergeCell ref="F116:G116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C000"/>
    <pageSetUpPr fitToPage="1"/>
  </sheetPr>
  <dimension ref="A1:N120"/>
  <sheetViews>
    <sheetView zoomScale="74" zoomScaleNormal="74" workbookViewId="0">
      <selection activeCell="I3" sqref="I3"/>
    </sheetView>
  </sheetViews>
  <sheetFormatPr defaultColWidth="11.5546875" defaultRowHeight="12.75" customHeight="1"/>
  <sheetData>
    <row r="1" spans="1:14" ht="13.2"/>
    <row r="2" spans="1:14" ht="15.6">
      <c r="A2" s="260">
        <v>1</v>
      </c>
      <c r="C2" s="85" t="s">
        <v>56</v>
      </c>
      <c r="D2" s="85" t="s">
        <v>57</v>
      </c>
      <c r="E2" s="85" t="s">
        <v>66</v>
      </c>
      <c r="F2" s="261" t="s">
        <v>58</v>
      </c>
      <c r="G2" s="261"/>
      <c r="H2" s="87" t="s">
        <v>59</v>
      </c>
      <c r="J2" s="262" t="s">
        <v>60</v>
      </c>
      <c r="K2" s="262"/>
    </row>
    <row r="3" spans="1:14" ht="13.2">
      <c r="A3" s="260"/>
      <c r="B3" s="89" t="s">
        <v>67</v>
      </c>
      <c r="C3" s="85">
        <f>Kalk!C4</f>
        <v>0</v>
      </c>
      <c r="D3" s="85">
        <f>Kalk!E4</f>
        <v>0</v>
      </c>
      <c r="E3" s="85">
        <f>Kalk!G4</f>
        <v>0</v>
      </c>
      <c r="F3" s="87">
        <f>SUM(L9:N9)</f>
        <v>12</v>
      </c>
      <c r="G3" s="87">
        <f>SUM(B9:F9)</f>
        <v>16</v>
      </c>
      <c r="H3" s="90">
        <f>(F3*G3)/1000000</f>
        <v>1.92E-4</v>
      </c>
      <c r="I3" s="91">
        <f>I10/H3</f>
        <v>2604166.6666666665</v>
      </c>
      <c r="J3" s="92">
        <f t="shared" ref="J3:K6" si="0">F3+10</f>
        <v>22</v>
      </c>
      <c r="K3" s="92">
        <f t="shared" si="0"/>
        <v>26</v>
      </c>
    </row>
    <row r="4" spans="1:14" ht="13.2">
      <c r="A4" s="260"/>
      <c r="B4" s="89" t="s">
        <v>68</v>
      </c>
      <c r="C4" s="6"/>
      <c r="D4" s="6"/>
      <c r="E4" s="6"/>
      <c r="F4" s="87">
        <f>SUM(L10:N10)</f>
        <v>18</v>
      </c>
      <c r="G4" s="87">
        <f>SUM(B10:F10)</f>
        <v>21</v>
      </c>
      <c r="H4" s="93">
        <f>F4*G4/1000000</f>
        <v>3.7800000000000003E-4</v>
      </c>
      <c r="I4" s="91">
        <f>I10/H4</f>
        <v>1322751.3227513228</v>
      </c>
      <c r="J4" s="92">
        <f t="shared" si="0"/>
        <v>28</v>
      </c>
      <c r="K4" s="92">
        <f t="shared" si="0"/>
        <v>31</v>
      </c>
    </row>
    <row r="5" spans="1:14" ht="13.2">
      <c r="A5" s="260"/>
      <c r="B5" s="89" t="s">
        <v>69</v>
      </c>
      <c r="C5" s="6"/>
      <c r="D5" s="6"/>
      <c r="E5" s="6"/>
      <c r="F5" s="87">
        <f>SUM(L11:N11)</f>
        <v>23</v>
      </c>
      <c r="G5" s="87">
        <f>SUM(B11:F11)</f>
        <v>26</v>
      </c>
      <c r="H5" s="93">
        <f>F5*G5/1000000</f>
        <v>5.9800000000000001E-4</v>
      </c>
      <c r="I5" s="91">
        <f>I10/H5</f>
        <v>836120.40133779263</v>
      </c>
      <c r="J5" s="92">
        <f t="shared" si="0"/>
        <v>33</v>
      </c>
      <c r="K5" s="92">
        <f t="shared" si="0"/>
        <v>36</v>
      </c>
    </row>
    <row r="6" spans="1:14" ht="13.2">
      <c r="A6" s="260"/>
      <c r="B6" s="89" t="s">
        <v>70</v>
      </c>
      <c r="C6" s="6"/>
      <c r="D6" s="6"/>
      <c r="E6" s="6"/>
      <c r="F6" s="87">
        <f>SUM(L12:N12)</f>
        <v>30</v>
      </c>
      <c r="G6" s="87">
        <f>SUM(B12:F12)</f>
        <v>36</v>
      </c>
      <c r="H6" s="93">
        <f>F6*G6/1000000</f>
        <v>1.08E-3</v>
      </c>
      <c r="I6" s="91">
        <f>I10/H6</f>
        <v>462962.96296296298</v>
      </c>
      <c r="J6" s="92">
        <f t="shared" si="0"/>
        <v>40</v>
      </c>
      <c r="K6" s="92">
        <f t="shared" si="0"/>
        <v>46</v>
      </c>
    </row>
    <row r="7" spans="1:14" ht="13.2">
      <c r="A7" s="260"/>
      <c r="E7" t="s">
        <v>35</v>
      </c>
    </row>
    <row r="8" spans="1:14" ht="13.35" customHeight="1">
      <c r="A8" s="260"/>
      <c r="B8" s="263" t="s">
        <v>81</v>
      </c>
      <c r="C8" s="263"/>
      <c r="D8" s="263"/>
      <c r="E8" s="263"/>
      <c r="F8" s="263"/>
      <c r="G8" s="86"/>
      <c r="H8" s="87"/>
      <c r="I8" s="264" t="s">
        <v>63</v>
      </c>
      <c r="L8" s="263" t="s">
        <v>82</v>
      </c>
      <c r="M8" s="263"/>
      <c r="N8" s="263"/>
    </row>
    <row r="9" spans="1:14" ht="13.2">
      <c r="A9" s="260"/>
      <c r="B9" s="101">
        <f>E3</f>
        <v>0</v>
      </c>
      <c r="C9" s="97">
        <f>D3+3</f>
        <v>3</v>
      </c>
      <c r="D9" s="98">
        <f>E3+4</f>
        <v>4</v>
      </c>
      <c r="E9" s="98">
        <f>D3+6</f>
        <v>6</v>
      </c>
      <c r="F9" s="98">
        <f>E3+3</f>
        <v>3</v>
      </c>
      <c r="G9" s="87"/>
      <c r="H9" s="90"/>
      <c r="I9" s="264"/>
      <c r="L9" s="101">
        <f>E3+1</f>
        <v>1</v>
      </c>
      <c r="M9" s="97">
        <f>C3+10</f>
        <v>10</v>
      </c>
      <c r="N9" s="98">
        <f>E3+1</f>
        <v>1</v>
      </c>
    </row>
    <row r="10" spans="1:14" ht="13.2">
      <c r="A10" s="260"/>
      <c r="B10" s="101">
        <f>E3</f>
        <v>0</v>
      </c>
      <c r="C10" s="102">
        <f>D3+4</f>
        <v>4</v>
      </c>
      <c r="D10" s="103">
        <f>E3+5</f>
        <v>5</v>
      </c>
      <c r="E10" s="103">
        <f>D3+8</f>
        <v>8</v>
      </c>
      <c r="F10" s="103">
        <f>E3+4</f>
        <v>4</v>
      </c>
      <c r="G10" s="87"/>
      <c r="H10" s="90"/>
      <c r="I10" s="99">
        <v>500</v>
      </c>
      <c r="L10" s="101">
        <f>E3+2</f>
        <v>2</v>
      </c>
      <c r="M10" s="102">
        <f>C3+14</f>
        <v>14</v>
      </c>
      <c r="N10" s="103">
        <f>E3+2</f>
        <v>2</v>
      </c>
    </row>
    <row r="11" spans="1:14" ht="13.2">
      <c r="A11" s="260"/>
      <c r="B11" s="101">
        <f>E3</f>
        <v>0</v>
      </c>
      <c r="C11" s="102">
        <f>D3+5</f>
        <v>5</v>
      </c>
      <c r="D11" s="103">
        <f>E3+6</f>
        <v>6</v>
      </c>
      <c r="E11" s="103">
        <f>D3+10</f>
        <v>10</v>
      </c>
      <c r="F11" s="103">
        <f>E3+5</f>
        <v>5</v>
      </c>
      <c r="G11" s="87"/>
      <c r="H11" s="90"/>
      <c r="I11" s="87"/>
      <c r="L11" s="101">
        <f>E3+3</f>
        <v>3</v>
      </c>
      <c r="M11" s="102">
        <f>C3+17</f>
        <v>17</v>
      </c>
      <c r="N11" s="103">
        <f>E3+3</f>
        <v>3</v>
      </c>
    </row>
    <row r="12" spans="1:14" ht="13.2">
      <c r="A12" s="260"/>
      <c r="B12" s="101">
        <f>E3</f>
        <v>0</v>
      </c>
      <c r="C12" s="102">
        <f>D3+7</f>
        <v>7</v>
      </c>
      <c r="D12" s="103">
        <f>E3+8</f>
        <v>8</v>
      </c>
      <c r="E12" s="103">
        <f>D3+14</f>
        <v>14</v>
      </c>
      <c r="F12" s="103">
        <f>E3+7</f>
        <v>7</v>
      </c>
      <c r="G12" s="87"/>
      <c r="H12" s="90"/>
      <c r="I12" s="87"/>
      <c r="L12" s="101">
        <f>E3+5</f>
        <v>5</v>
      </c>
      <c r="M12" s="102">
        <f>C3+20</f>
        <v>20</v>
      </c>
      <c r="N12" s="103">
        <f>E3+5</f>
        <v>5</v>
      </c>
    </row>
    <row r="13" spans="1:14" ht="13.2"/>
    <row r="14" spans="1:14" ht="15.6">
      <c r="A14" s="260">
        <v>2</v>
      </c>
      <c r="C14" s="85" t="s">
        <v>56</v>
      </c>
      <c r="D14" s="85" t="s">
        <v>57</v>
      </c>
      <c r="E14" s="85" t="s">
        <v>66</v>
      </c>
      <c r="F14" s="261" t="s">
        <v>58</v>
      </c>
      <c r="G14" s="261"/>
      <c r="H14" s="87" t="s">
        <v>59</v>
      </c>
      <c r="J14" s="262" t="s">
        <v>60</v>
      </c>
      <c r="K14" s="262"/>
    </row>
    <row r="15" spans="1:14" ht="13.2">
      <c r="A15" s="260"/>
      <c r="B15" s="89" t="s">
        <v>67</v>
      </c>
      <c r="C15" s="85">
        <f>Kalk!C8</f>
        <v>0</v>
      </c>
      <c r="D15" s="85">
        <f>Kalk!E8</f>
        <v>0</v>
      </c>
      <c r="E15" s="85">
        <f>Kalk!G8</f>
        <v>0</v>
      </c>
      <c r="F15" s="87">
        <f>SUM(L21:N21)</f>
        <v>12</v>
      </c>
      <c r="G15" s="87">
        <f>SUM(B21:F21)</f>
        <v>16</v>
      </c>
      <c r="H15" s="90">
        <f>(F15*G15)/1000000</f>
        <v>1.92E-4</v>
      </c>
      <c r="I15" s="91">
        <f>I22/H15</f>
        <v>2604166.6666666665</v>
      </c>
      <c r="J15" s="92">
        <f t="shared" ref="J15:K18" si="1">F15+10</f>
        <v>22</v>
      </c>
      <c r="K15" s="92">
        <f t="shared" si="1"/>
        <v>26</v>
      </c>
    </row>
    <row r="16" spans="1:14" ht="13.2">
      <c r="A16" s="260"/>
      <c r="B16" s="89" t="s">
        <v>68</v>
      </c>
      <c r="C16" s="6"/>
      <c r="D16" s="6"/>
      <c r="E16" s="6"/>
      <c r="F16" s="87">
        <f>SUM(L22:N22)</f>
        <v>18</v>
      </c>
      <c r="G16" s="87">
        <f>SUM(B22:F22)</f>
        <v>21</v>
      </c>
      <c r="H16" s="93">
        <f>F16*G16/1000000</f>
        <v>3.7800000000000003E-4</v>
      </c>
      <c r="I16" s="91">
        <f>I22/H16</f>
        <v>1322751.3227513228</v>
      </c>
      <c r="J16" s="92">
        <f t="shared" si="1"/>
        <v>28</v>
      </c>
      <c r="K16" s="92">
        <f t="shared" si="1"/>
        <v>31</v>
      </c>
    </row>
    <row r="17" spans="1:14" ht="13.2">
      <c r="A17" s="260"/>
      <c r="B17" s="89" t="s">
        <v>69</v>
      </c>
      <c r="C17" s="6"/>
      <c r="D17" s="6"/>
      <c r="E17" s="6"/>
      <c r="F17" s="87">
        <f>SUM(L23:N23)</f>
        <v>23</v>
      </c>
      <c r="G17" s="87">
        <f>SUM(B23:F23)</f>
        <v>26</v>
      </c>
      <c r="H17" s="93">
        <f>F17*G17/1000000</f>
        <v>5.9800000000000001E-4</v>
      </c>
      <c r="I17" s="91">
        <f>I22/H17</f>
        <v>836120.40133779263</v>
      </c>
      <c r="J17" s="92">
        <f t="shared" si="1"/>
        <v>33</v>
      </c>
      <c r="K17" s="92">
        <f t="shared" si="1"/>
        <v>36</v>
      </c>
    </row>
    <row r="18" spans="1:14" ht="13.2">
      <c r="A18" s="260"/>
      <c r="B18" s="89" t="s">
        <v>70</v>
      </c>
      <c r="C18" s="6"/>
      <c r="D18" s="6"/>
      <c r="E18" s="6"/>
      <c r="F18" s="87">
        <f>SUM(L24:N24)</f>
        <v>30</v>
      </c>
      <c r="G18" s="87">
        <f>SUM(B24:F24)</f>
        <v>36</v>
      </c>
      <c r="H18" s="93">
        <f>F18*G18/1000000</f>
        <v>1.08E-3</v>
      </c>
      <c r="I18" s="91">
        <f>I22/H18</f>
        <v>462962.96296296298</v>
      </c>
      <c r="J18" s="92">
        <f t="shared" si="1"/>
        <v>40</v>
      </c>
      <c r="K18" s="92">
        <f t="shared" si="1"/>
        <v>46</v>
      </c>
    </row>
    <row r="19" spans="1:14" ht="13.2">
      <c r="A19" s="260"/>
      <c r="E19" t="s">
        <v>35</v>
      </c>
    </row>
    <row r="20" spans="1:14" ht="13.35" customHeight="1">
      <c r="A20" s="260"/>
      <c r="B20" s="263" t="s">
        <v>81</v>
      </c>
      <c r="C20" s="263"/>
      <c r="D20" s="263"/>
      <c r="E20" s="263"/>
      <c r="F20" s="263"/>
      <c r="G20" s="86"/>
      <c r="H20" s="87"/>
      <c r="I20" s="264" t="s">
        <v>63</v>
      </c>
      <c r="L20" s="263" t="s">
        <v>82</v>
      </c>
      <c r="M20" s="263"/>
      <c r="N20" s="263"/>
    </row>
    <row r="21" spans="1:14" ht="13.2">
      <c r="A21" s="260"/>
      <c r="B21" s="101">
        <f>E15</f>
        <v>0</v>
      </c>
      <c r="C21" s="97">
        <f>D15+3</f>
        <v>3</v>
      </c>
      <c r="D21" s="98">
        <f>E15+4</f>
        <v>4</v>
      </c>
      <c r="E21" s="98">
        <f>D15+6</f>
        <v>6</v>
      </c>
      <c r="F21" s="98">
        <f>E15+3</f>
        <v>3</v>
      </c>
      <c r="G21" s="87"/>
      <c r="H21" s="90"/>
      <c r="I21" s="264"/>
      <c r="L21" s="101">
        <f>E15+1</f>
        <v>1</v>
      </c>
      <c r="M21" s="97">
        <f>C15+10</f>
        <v>10</v>
      </c>
      <c r="N21" s="98">
        <f>E15+1</f>
        <v>1</v>
      </c>
    </row>
    <row r="22" spans="1:14" ht="13.2">
      <c r="A22" s="260"/>
      <c r="B22" s="101">
        <f>E15</f>
        <v>0</v>
      </c>
      <c r="C22" s="102">
        <f>D15+4</f>
        <v>4</v>
      </c>
      <c r="D22" s="103">
        <f>E15+5</f>
        <v>5</v>
      </c>
      <c r="E22" s="103">
        <f>D15+8</f>
        <v>8</v>
      </c>
      <c r="F22" s="103">
        <f>E15+4</f>
        <v>4</v>
      </c>
      <c r="G22" s="87"/>
      <c r="H22" s="90"/>
      <c r="I22" s="99">
        <v>500</v>
      </c>
      <c r="L22" s="101">
        <f>E15+2</f>
        <v>2</v>
      </c>
      <c r="M22" s="102">
        <f>C15+14</f>
        <v>14</v>
      </c>
      <c r="N22" s="103">
        <f>E15+2</f>
        <v>2</v>
      </c>
    </row>
    <row r="23" spans="1:14" ht="13.2">
      <c r="A23" s="260"/>
      <c r="B23" s="101">
        <f>E15</f>
        <v>0</v>
      </c>
      <c r="C23" s="102">
        <f>D15+5</f>
        <v>5</v>
      </c>
      <c r="D23" s="103">
        <f>E15+6</f>
        <v>6</v>
      </c>
      <c r="E23" s="103">
        <f>D15+10</f>
        <v>10</v>
      </c>
      <c r="F23" s="103">
        <f>E15+5</f>
        <v>5</v>
      </c>
      <c r="G23" s="87"/>
      <c r="H23" s="90"/>
      <c r="I23" s="87"/>
      <c r="L23" s="101">
        <f>E15+3</f>
        <v>3</v>
      </c>
      <c r="M23" s="102">
        <f>C15+17</f>
        <v>17</v>
      </c>
      <c r="N23" s="103">
        <f>E15+3</f>
        <v>3</v>
      </c>
    </row>
    <row r="24" spans="1:14" ht="13.2">
      <c r="A24" s="260"/>
      <c r="B24" s="101">
        <f>E15</f>
        <v>0</v>
      </c>
      <c r="C24" s="102">
        <f>D15+7</f>
        <v>7</v>
      </c>
      <c r="D24" s="103">
        <f>E15+8</f>
        <v>8</v>
      </c>
      <c r="E24" s="103">
        <f>D15+14</f>
        <v>14</v>
      </c>
      <c r="F24" s="103">
        <f>E15+7</f>
        <v>7</v>
      </c>
      <c r="G24" s="87"/>
      <c r="H24" s="90"/>
      <c r="I24" s="87"/>
      <c r="L24" s="101">
        <f>E15+5</f>
        <v>5</v>
      </c>
      <c r="M24" s="102">
        <f>C15+20</f>
        <v>20</v>
      </c>
      <c r="N24" s="103">
        <f>E15+5</f>
        <v>5</v>
      </c>
    </row>
    <row r="25" spans="1:14" ht="13.2"/>
    <row r="26" spans="1:14" ht="15.6">
      <c r="A26" s="260">
        <v>3</v>
      </c>
      <c r="C26" s="85" t="s">
        <v>56</v>
      </c>
      <c r="D26" s="85" t="s">
        <v>57</v>
      </c>
      <c r="E26" s="85" t="s">
        <v>66</v>
      </c>
      <c r="F26" s="261" t="s">
        <v>58</v>
      </c>
      <c r="G26" s="261"/>
      <c r="H26" s="87" t="s">
        <v>59</v>
      </c>
      <c r="J26" s="262" t="s">
        <v>60</v>
      </c>
      <c r="K26" s="262"/>
    </row>
    <row r="27" spans="1:14" ht="13.2">
      <c r="A27" s="260"/>
      <c r="B27" s="89" t="s">
        <v>67</v>
      </c>
      <c r="C27" s="85">
        <f>Kalk!C12</f>
        <v>0</v>
      </c>
      <c r="D27" s="85">
        <f>Kalk!E12</f>
        <v>0</v>
      </c>
      <c r="E27" s="85">
        <f>Kalk!G12</f>
        <v>0</v>
      </c>
      <c r="F27" s="87">
        <f>SUM(L33:N33)</f>
        <v>12</v>
      </c>
      <c r="G27" s="87">
        <f>SUM(B33:F33)</f>
        <v>16</v>
      </c>
      <c r="H27" s="90">
        <f>(F27*G27)/1000000</f>
        <v>1.92E-4</v>
      </c>
      <c r="I27" s="91">
        <f>I34/H27</f>
        <v>2604166.6666666665</v>
      </c>
      <c r="J27" s="92">
        <f t="shared" ref="J27:K30" si="2">F27+10</f>
        <v>22</v>
      </c>
      <c r="K27" s="92">
        <f t="shared" si="2"/>
        <v>26</v>
      </c>
    </row>
    <row r="28" spans="1:14" ht="13.2">
      <c r="A28" s="260"/>
      <c r="B28" s="89" t="s">
        <v>68</v>
      </c>
      <c r="C28" s="6"/>
      <c r="D28" s="6"/>
      <c r="E28" s="6"/>
      <c r="F28" s="87">
        <f>SUM(L34:N34)</f>
        <v>18</v>
      </c>
      <c r="G28" s="87">
        <f>SUM(B34:F34)</f>
        <v>21</v>
      </c>
      <c r="H28" s="93">
        <f>F28*G28/1000000</f>
        <v>3.7800000000000003E-4</v>
      </c>
      <c r="I28" s="91">
        <f>I34/H28</f>
        <v>1322751.3227513228</v>
      </c>
      <c r="J28" s="92">
        <f t="shared" si="2"/>
        <v>28</v>
      </c>
      <c r="K28" s="92">
        <f t="shared" si="2"/>
        <v>31</v>
      </c>
    </row>
    <row r="29" spans="1:14" ht="13.2">
      <c r="A29" s="260"/>
      <c r="B29" s="89" t="s">
        <v>69</v>
      </c>
      <c r="C29" s="6"/>
      <c r="D29" s="6"/>
      <c r="E29" s="6"/>
      <c r="F29" s="87">
        <f>SUM(L35:N35)</f>
        <v>23</v>
      </c>
      <c r="G29" s="87">
        <f>SUM(B35:F35)</f>
        <v>26</v>
      </c>
      <c r="H29" s="93">
        <f>F29*G29/1000000</f>
        <v>5.9800000000000001E-4</v>
      </c>
      <c r="I29" s="91">
        <f>I34/H29</f>
        <v>836120.40133779263</v>
      </c>
      <c r="J29" s="92">
        <f t="shared" si="2"/>
        <v>33</v>
      </c>
      <c r="K29" s="92">
        <f t="shared" si="2"/>
        <v>36</v>
      </c>
    </row>
    <row r="30" spans="1:14" ht="13.2">
      <c r="A30" s="260"/>
      <c r="B30" s="89" t="s">
        <v>70</v>
      </c>
      <c r="C30" s="6"/>
      <c r="D30" s="6"/>
      <c r="E30" s="6"/>
      <c r="F30" s="87">
        <f>SUM(L36:N36)</f>
        <v>30</v>
      </c>
      <c r="G30" s="87">
        <f>SUM(B36:F36)</f>
        <v>36</v>
      </c>
      <c r="H30" s="93">
        <f>F30*G30/1000000</f>
        <v>1.08E-3</v>
      </c>
      <c r="I30" s="91">
        <f>I34/H30</f>
        <v>462962.96296296298</v>
      </c>
      <c r="J30" s="92">
        <f t="shared" si="2"/>
        <v>40</v>
      </c>
      <c r="K30" s="92">
        <f t="shared" si="2"/>
        <v>46</v>
      </c>
    </row>
    <row r="31" spans="1:14" ht="13.2">
      <c r="A31" s="260"/>
      <c r="E31" t="s">
        <v>35</v>
      </c>
    </row>
    <row r="32" spans="1:14" ht="13.35" customHeight="1">
      <c r="A32" s="260"/>
      <c r="B32" s="263" t="s">
        <v>81</v>
      </c>
      <c r="C32" s="263"/>
      <c r="D32" s="263"/>
      <c r="E32" s="263"/>
      <c r="F32" s="263"/>
      <c r="G32" s="86"/>
      <c r="H32" s="87"/>
      <c r="I32" s="264" t="s">
        <v>63</v>
      </c>
      <c r="L32" s="263" t="s">
        <v>82</v>
      </c>
      <c r="M32" s="263"/>
      <c r="N32" s="263"/>
    </row>
    <row r="33" spans="1:14" ht="13.2">
      <c r="A33" s="260"/>
      <c r="B33" s="101">
        <f>E27</f>
        <v>0</v>
      </c>
      <c r="C33" s="97">
        <f>D27+3</f>
        <v>3</v>
      </c>
      <c r="D33" s="98">
        <f>E27+4</f>
        <v>4</v>
      </c>
      <c r="E33" s="98">
        <f>D27+6</f>
        <v>6</v>
      </c>
      <c r="F33" s="98">
        <f>E27+3</f>
        <v>3</v>
      </c>
      <c r="G33" s="87"/>
      <c r="H33" s="90"/>
      <c r="I33" s="264"/>
      <c r="L33" s="101">
        <f>E27+1</f>
        <v>1</v>
      </c>
      <c r="M33" s="97">
        <f>C27+10</f>
        <v>10</v>
      </c>
      <c r="N33" s="98">
        <f>E27+1</f>
        <v>1</v>
      </c>
    </row>
    <row r="34" spans="1:14" ht="13.2">
      <c r="A34" s="260"/>
      <c r="B34" s="101">
        <f>E27</f>
        <v>0</v>
      </c>
      <c r="C34" s="102">
        <f>D27+4</f>
        <v>4</v>
      </c>
      <c r="D34" s="103">
        <f>E27+5</f>
        <v>5</v>
      </c>
      <c r="E34" s="103">
        <f>D27+8</f>
        <v>8</v>
      </c>
      <c r="F34" s="103">
        <f>E27+4</f>
        <v>4</v>
      </c>
      <c r="G34" s="87"/>
      <c r="H34" s="90"/>
      <c r="I34" s="99">
        <v>500</v>
      </c>
      <c r="L34" s="101">
        <f>E27+2</f>
        <v>2</v>
      </c>
      <c r="M34" s="102">
        <f>C27+14</f>
        <v>14</v>
      </c>
      <c r="N34" s="103">
        <f>E27+2</f>
        <v>2</v>
      </c>
    </row>
    <row r="35" spans="1:14" ht="13.2">
      <c r="A35" s="260"/>
      <c r="B35" s="101">
        <f>E27</f>
        <v>0</v>
      </c>
      <c r="C35" s="102">
        <f>D27+5</f>
        <v>5</v>
      </c>
      <c r="D35" s="103">
        <f>E27+6</f>
        <v>6</v>
      </c>
      <c r="E35" s="103">
        <f>D27+10</f>
        <v>10</v>
      </c>
      <c r="F35" s="103">
        <f>E27+5</f>
        <v>5</v>
      </c>
      <c r="G35" s="87"/>
      <c r="H35" s="90"/>
      <c r="I35" s="87"/>
      <c r="L35" s="101">
        <f>E27+3</f>
        <v>3</v>
      </c>
      <c r="M35" s="102">
        <f>C27+17</f>
        <v>17</v>
      </c>
      <c r="N35" s="103">
        <f>E27+3</f>
        <v>3</v>
      </c>
    </row>
    <row r="36" spans="1:14" ht="13.2">
      <c r="A36" s="260"/>
      <c r="B36" s="101">
        <f>E27</f>
        <v>0</v>
      </c>
      <c r="C36" s="102">
        <f>D27+7</f>
        <v>7</v>
      </c>
      <c r="D36" s="103">
        <f>E27+8</f>
        <v>8</v>
      </c>
      <c r="E36" s="103">
        <f>D27+14</f>
        <v>14</v>
      </c>
      <c r="F36" s="103">
        <f>E27+7</f>
        <v>7</v>
      </c>
      <c r="G36" s="87"/>
      <c r="H36" s="90"/>
      <c r="I36" s="87"/>
      <c r="L36" s="101">
        <f>E27+5</f>
        <v>5</v>
      </c>
      <c r="M36" s="102">
        <f>C27+20</f>
        <v>20</v>
      </c>
      <c r="N36" s="103">
        <f>E27+5</f>
        <v>5</v>
      </c>
    </row>
    <row r="37" spans="1:14" ht="13.2"/>
    <row r="38" spans="1:14" ht="15.6">
      <c r="A38" s="260">
        <v>4</v>
      </c>
      <c r="C38" s="85" t="s">
        <v>56</v>
      </c>
      <c r="D38" s="85" t="s">
        <v>57</v>
      </c>
      <c r="E38" s="85" t="s">
        <v>66</v>
      </c>
      <c r="F38" s="261" t="s">
        <v>58</v>
      </c>
      <c r="G38" s="261"/>
      <c r="H38" s="87" t="s">
        <v>59</v>
      </c>
      <c r="J38" s="262" t="s">
        <v>60</v>
      </c>
      <c r="K38" s="262"/>
    </row>
    <row r="39" spans="1:14" ht="13.2">
      <c r="A39" s="260"/>
      <c r="B39" s="89" t="s">
        <v>67</v>
      </c>
      <c r="C39" s="85">
        <f>Kalk!C16</f>
        <v>0</v>
      </c>
      <c r="D39" s="85">
        <f>Kalk!E16</f>
        <v>0</v>
      </c>
      <c r="E39" s="85">
        <f>Kalk!G16</f>
        <v>0</v>
      </c>
      <c r="F39" s="87">
        <f>SUM(L45:N45)</f>
        <v>12</v>
      </c>
      <c r="G39" s="87">
        <f>SUM(B45:F45)</f>
        <v>16</v>
      </c>
      <c r="H39" s="90">
        <f>(F39*G39)/1000000</f>
        <v>1.92E-4</v>
      </c>
      <c r="I39" s="91">
        <f>I46/H39</f>
        <v>2604166.6666666665</v>
      </c>
      <c r="J39" s="92">
        <f t="shared" ref="J39:K42" si="3">F39+10</f>
        <v>22</v>
      </c>
      <c r="K39" s="92">
        <f t="shared" si="3"/>
        <v>26</v>
      </c>
    </row>
    <row r="40" spans="1:14" ht="13.2">
      <c r="A40" s="260"/>
      <c r="B40" s="89" t="s">
        <v>68</v>
      </c>
      <c r="C40" s="6"/>
      <c r="D40" s="6"/>
      <c r="E40" s="6"/>
      <c r="F40" s="87">
        <f>SUM(L46:N46)</f>
        <v>18</v>
      </c>
      <c r="G40" s="87">
        <f>SUM(B46:F46)</f>
        <v>21</v>
      </c>
      <c r="H40" s="93">
        <f>F40*G40/1000000</f>
        <v>3.7800000000000003E-4</v>
      </c>
      <c r="I40" s="91">
        <f>I46/H40</f>
        <v>1322751.3227513228</v>
      </c>
      <c r="J40" s="92">
        <f t="shared" si="3"/>
        <v>28</v>
      </c>
      <c r="K40" s="92">
        <f t="shared" si="3"/>
        <v>31</v>
      </c>
    </row>
    <row r="41" spans="1:14" ht="13.2">
      <c r="A41" s="260"/>
      <c r="B41" s="89" t="s">
        <v>69</v>
      </c>
      <c r="C41" s="6"/>
      <c r="D41" s="6"/>
      <c r="E41" s="6"/>
      <c r="F41" s="87">
        <f>SUM(L47:N47)</f>
        <v>23</v>
      </c>
      <c r="G41" s="87">
        <f>SUM(B47:F47)</f>
        <v>26</v>
      </c>
      <c r="H41" s="93">
        <f>F41*G41/1000000</f>
        <v>5.9800000000000001E-4</v>
      </c>
      <c r="I41" s="91">
        <f>I46/H41</f>
        <v>836120.40133779263</v>
      </c>
      <c r="J41" s="92">
        <f t="shared" si="3"/>
        <v>33</v>
      </c>
      <c r="K41" s="92">
        <f t="shared" si="3"/>
        <v>36</v>
      </c>
    </row>
    <row r="42" spans="1:14" ht="13.2">
      <c r="A42" s="260"/>
      <c r="B42" s="89" t="s">
        <v>70</v>
      </c>
      <c r="C42" s="6"/>
      <c r="D42" s="6"/>
      <c r="E42" s="6"/>
      <c r="F42" s="87">
        <f>SUM(L48:N48)</f>
        <v>30</v>
      </c>
      <c r="G42" s="87">
        <f>SUM(B48:F48)</f>
        <v>36</v>
      </c>
      <c r="H42" s="93">
        <f>F42*G42/1000000</f>
        <v>1.08E-3</v>
      </c>
      <c r="I42" s="91">
        <f>I46/H42</f>
        <v>462962.96296296298</v>
      </c>
      <c r="J42" s="92">
        <f t="shared" si="3"/>
        <v>40</v>
      </c>
      <c r="K42" s="92">
        <f t="shared" si="3"/>
        <v>46</v>
      </c>
    </row>
    <row r="43" spans="1:14" ht="13.2">
      <c r="A43" s="260"/>
      <c r="E43" t="s">
        <v>35</v>
      </c>
    </row>
    <row r="44" spans="1:14" ht="13.35" customHeight="1">
      <c r="A44" s="260"/>
      <c r="B44" s="263" t="s">
        <v>81</v>
      </c>
      <c r="C44" s="263"/>
      <c r="D44" s="263"/>
      <c r="E44" s="263"/>
      <c r="F44" s="263"/>
      <c r="G44" s="86"/>
      <c r="H44" s="87"/>
      <c r="I44" s="264" t="s">
        <v>63</v>
      </c>
      <c r="L44" s="263" t="s">
        <v>82</v>
      </c>
      <c r="M44" s="263"/>
      <c r="N44" s="263"/>
    </row>
    <row r="45" spans="1:14" ht="13.2">
      <c r="A45" s="260"/>
      <c r="B45" s="101">
        <f>E39</f>
        <v>0</v>
      </c>
      <c r="C45" s="97">
        <f>D39+3</f>
        <v>3</v>
      </c>
      <c r="D45" s="98">
        <f>E39+4</f>
        <v>4</v>
      </c>
      <c r="E45" s="98">
        <f>D39+6</f>
        <v>6</v>
      </c>
      <c r="F45" s="98">
        <f>E39+3</f>
        <v>3</v>
      </c>
      <c r="G45" s="87"/>
      <c r="H45" s="90"/>
      <c r="I45" s="264"/>
      <c r="L45" s="101">
        <f>E39+1</f>
        <v>1</v>
      </c>
      <c r="M45" s="97">
        <f>C39+10</f>
        <v>10</v>
      </c>
      <c r="N45" s="98">
        <f>E39+1</f>
        <v>1</v>
      </c>
    </row>
    <row r="46" spans="1:14" ht="13.2">
      <c r="A46" s="260"/>
      <c r="B46" s="101">
        <f>E39</f>
        <v>0</v>
      </c>
      <c r="C46" s="102">
        <f>D39+4</f>
        <v>4</v>
      </c>
      <c r="D46" s="103">
        <f>E39+5</f>
        <v>5</v>
      </c>
      <c r="E46" s="103">
        <f>D39+8</f>
        <v>8</v>
      </c>
      <c r="F46" s="103">
        <f>E39+4</f>
        <v>4</v>
      </c>
      <c r="G46" s="87"/>
      <c r="H46" s="90"/>
      <c r="I46" s="99">
        <v>500</v>
      </c>
      <c r="L46" s="101">
        <f>E39+2</f>
        <v>2</v>
      </c>
      <c r="M46" s="102">
        <f>C39+14</f>
        <v>14</v>
      </c>
      <c r="N46" s="103">
        <f>E39+2</f>
        <v>2</v>
      </c>
    </row>
    <row r="47" spans="1:14" ht="13.2">
      <c r="A47" s="260"/>
      <c r="B47" s="101">
        <f>E39</f>
        <v>0</v>
      </c>
      <c r="C47" s="102">
        <f>D39+5</f>
        <v>5</v>
      </c>
      <c r="D47" s="103">
        <f>E39+6</f>
        <v>6</v>
      </c>
      <c r="E47" s="103">
        <f>D39+10</f>
        <v>10</v>
      </c>
      <c r="F47" s="103">
        <f>E39+5</f>
        <v>5</v>
      </c>
      <c r="G47" s="87"/>
      <c r="H47" s="90"/>
      <c r="I47" s="87"/>
      <c r="L47" s="101">
        <f>E39+3</f>
        <v>3</v>
      </c>
      <c r="M47" s="102">
        <f>C39+17</f>
        <v>17</v>
      </c>
      <c r="N47" s="103">
        <f>E39+3</f>
        <v>3</v>
      </c>
    </row>
    <row r="48" spans="1:14" ht="13.2">
      <c r="A48" s="260"/>
      <c r="B48" s="101">
        <f>E39</f>
        <v>0</v>
      </c>
      <c r="C48" s="102">
        <f>D39+7</f>
        <v>7</v>
      </c>
      <c r="D48" s="103">
        <f>E39+8</f>
        <v>8</v>
      </c>
      <c r="E48" s="103">
        <f>D39+14</f>
        <v>14</v>
      </c>
      <c r="F48" s="103">
        <f>E39+7</f>
        <v>7</v>
      </c>
      <c r="G48" s="87"/>
      <c r="H48" s="90"/>
      <c r="I48" s="87"/>
      <c r="L48" s="101">
        <f>E39+5</f>
        <v>5</v>
      </c>
      <c r="M48" s="102">
        <f>C39+20</f>
        <v>20</v>
      </c>
      <c r="N48" s="103">
        <f>E39+5</f>
        <v>5</v>
      </c>
    </row>
    <row r="49" spans="1:14" ht="13.2"/>
    <row r="50" spans="1:14" ht="15.6">
      <c r="A50" s="260">
        <v>5</v>
      </c>
      <c r="C50" s="85" t="s">
        <v>56</v>
      </c>
      <c r="D50" s="85" t="s">
        <v>57</v>
      </c>
      <c r="E50" s="85" t="s">
        <v>66</v>
      </c>
      <c r="F50" s="261" t="s">
        <v>58</v>
      </c>
      <c r="G50" s="261"/>
      <c r="H50" s="87" t="s">
        <v>59</v>
      </c>
      <c r="J50" s="262" t="s">
        <v>60</v>
      </c>
      <c r="K50" s="262"/>
    </row>
    <row r="51" spans="1:14" ht="13.2">
      <c r="A51" s="260"/>
      <c r="B51" s="89" t="s">
        <v>67</v>
      </c>
      <c r="C51" s="85">
        <f>Kalk!C20</f>
        <v>0</v>
      </c>
      <c r="D51" s="85">
        <f>Kalk!E20</f>
        <v>0</v>
      </c>
      <c r="E51" s="85">
        <f>Kalk!G20</f>
        <v>0</v>
      </c>
      <c r="F51" s="87">
        <f>SUM(L57:N57)</f>
        <v>12</v>
      </c>
      <c r="G51" s="87">
        <f>SUM(B57:F57)</f>
        <v>16</v>
      </c>
      <c r="H51" s="90">
        <f>(F51*G51)/1000000</f>
        <v>1.92E-4</v>
      </c>
      <c r="I51" s="91">
        <f>I58/H51</f>
        <v>2604166.6666666665</v>
      </c>
      <c r="J51" s="92">
        <f t="shared" ref="J51:K54" si="4">F51+10</f>
        <v>22</v>
      </c>
      <c r="K51" s="92">
        <f t="shared" si="4"/>
        <v>26</v>
      </c>
    </row>
    <row r="52" spans="1:14" ht="13.2">
      <c r="A52" s="260"/>
      <c r="B52" s="89" t="s">
        <v>68</v>
      </c>
      <c r="C52" s="6"/>
      <c r="D52" s="6"/>
      <c r="E52" s="6"/>
      <c r="F52" s="87">
        <f>SUM(L58:N58)</f>
        <v>18</v>
      </c>
      <c r="G52" s="87">
        <f>SUM(B58:F58)</f>
        <v>21</v>
      </c>
      <c r="H52" s="93">
        <f>F52*G52/1000000</f>
        <v>3.7800000000000003E-4</v>
      </c>
      <c r="I52" s="91">
        <f>I58/H52</f>
        <v>1322751.3227513228</v>
      </c>
      <c r="J52" s="92">
        <f t="shared" si="4"/>
        <v>28</v>
      </c>
      <c r="K52" s="92">
        <f t="shared" si="4"/>
        <v>31</v>
      </c>
    </row>
    <row r="53" spans="1:14" ht="13.2">
      <c r="A53" s="260"/>
      <c r="B53" s="89" t="s">
        <v>69</v>
      </c>
      <c r="C53" s="6"/>
      <c r="D53" s="6"/>
      <c r="E53" s="6"/>
      <c r="F53" s="87">
        <f>SUM(L59:N59)</f>
        <v>23</v>
      </c>
      <c r="G53" s="87">
        <f>SUM(B59:F59)</f>
        <v>26</v>
      </c>
      <c r="H53" s="93">
        <f>F53*G53/1000000</f>
        <v>5.9800000000000001E-4</v>
      </c>
      <c r="I53" s="91">
        <f>I58/H53</f>
        <v>836120.40133779263</v>
      </c>
      <c r="J53" s="92">
        <f t="shared" si="4"/>
        <v>33</v>
      </c>
      <c r="K53" s="92">
        <f t="shared" si="4"/>
        <v>36</v>
      </c>
    </row>
    <row r="54" spans="1:14" ht="13.2">
      <c r="A54" s="260"/>
      <c r="B54" s="89" t="s">
        <v>70</v>
      </c>
      <c r="C54" s="6"/>
      <c r="D54" s="6"/>
      <c r="E54" s="6"/>
      <c r="F54" s="87">
        <f>SUM(L60:N60)</f>
        <v>30</v>
      </c>
      <c r="G54" s="87">
        <f>SUM(B60:F60)</f>
        <v>36</v>
      </c>
      <c r="H54" s="93">
        <f>F54*G54/1000000</f>
        <v>1.08E-3</v>
      </c>
      <c r="I54" s="91">
        <f>I58/H54</f>
        <v>462962.96296296298</v>
      </c>
      <c r="J54" s="92">
        <f t="shared" si="4"/>
        <v>40</v>
      </c>
      <c r="K54" s="92">
        <f t="shared" si="4"/>
        <v>46</v>
      </c>
    </row>
    <row r="55" spans="1:14" ht="13.2">
      <c r="A55" s="260"/>
      <c r="E55" t="s">
        <v>35</v>
      </c>
    </row>
    <row r="56" spans="1:14" ht="13.35" customHeight="1">
      <c r="A56" s="260"/>
      <c r="B56" s="263" t="s">
        <v>81</v>
      </c>
      <c r="C56" s="263"/>
      <c r="D56" s="263"/>
      <c r="E56" s="263"/>
      <c r="F56" s="263"/>
      <c r="G56" s="86"/>
      <c r="H56" s="87"/>
      <c r="I56" s="264" t="s">
        <v>63</v>
      </c>
      <c r="L56" s="263" t="s">
        <v>82</v>
      </c>
      <c r="M56" s="263"/>
      <c r="N56" s="263"/>
    </row>
    <row r="57" spans="1:14" ht="13.2">
      <c r="A57" s="260"/>
      <c r="B57" s="101">
        <f>E51</f>
        <v>0</v>
      </c>
      <c r="C57" s="97">
        <f>D51+3</f>
        <v>3</v>
      </c>
      <c r="D57" s="98">
        <f>E51+4</f>
        <v>4</v>
      </c>
      <c r="E57" s="98">
        <f>D51+6</f>
        <v>6</v>
      </c>
      <c r="F57" s="98">
        <f>E51+3</f>
        <v>3</v>
      </c>
      <c r="G57" s="87"/>
      <c r="H57" s="90"/>
      <c r="I57" s="264"/>
      <c r="L57" s="101">
        <f>E51+1</f>
        <v>1</v>
      </c>
      <c r="M57" s="97">
        <f>C51+10</f>
        <v>10</v>
      </c>
      <c r="N57" s="98">
        <f>E51+1</f>
        <v>1</v>
      </c>
    </row>
    <row r="58" spans="1:14" ht="13.2">
      <c r="A58" s="260"/>
      <c r="B58" s="101">
        <f>E51</f>
        <v>0</v>
      </c>
      <c r="C58" s="102">
        <f>D51+4</f>
        <v>4</v>
      </c>
      <c r="D58" s="103">
        <f>E51+5</f>
        <v>5</v>
      </c>
      <c r="E58" s="103">
        <f>D51+8</f>
        <v>8</v>
      </c>
      <c r="F58" s="103">
        <f>E51+4</f>
        <v>4</v>
      </c>
      <c r="G58" s="87"/>
      <c r="H58" s="90"/>
      <c r="I58" s="99">
        <v>500</v>
      </c>
      <c r="L58" s="101">
        <f>E51+2</f>
        <v>2</v>
      </c>
      <c r="M58" s="102">
        <f>C51+14</f>
        <v>14</v>
      </c>
      <c r="N58" s="103">
        <f>E51+2</f>
        <v>2</v>
      </c>
    </row>
    <row r="59" spans="1:14" ht="13.2">
      <c r="A59" s="260"/>
      <c r="B59" s="101">
        <f>E51</f>
        <v>0</v>
      </c>
      <c r="C59" s="102">
        <f>D51+5</f>
        <v>5</v>
      </c>
      <c r="D59" s="103">
        <f>E51+6</f>
        <v>6</v>
      </c>
      <c r="E59" s="103">
        <f>D51+10</f>
        <v>10</v>
      </c>
      <c r="F59" s="103">
        <f>E51+5</f>
        <v>5</v>
      </c>
      <c r="G59" s="87"/>
      <c r="H59" s="90"/>
      <c r="I59" s="87"/>
      <c r="L59" s="101">
        <f>E51+3</f>
        <v>3</v>
      </c>
      <c r="M59" s="102">
        <f>C51+17</f>
        <v>17</v>
      </c>
      <c r="N59" s="103">
        <f>E51+3</f>
        <v>3</v>
      </c>
    </row>
    <row r="60" spans="1:14" ht="13.2">
      <c r="A60" s="260"/>
      <c r="B60" s="101">
        <f>E51</f>
        <v>0</v>
      </c>
      <c r="C60" s="102">
        <f>D51+7</f>
        <v>7</v>
      </c>
      <c r="D60" s="103">
        <f>E51+8</f>
        <v>8</v>
      </c>
      <c r="E60" s="103">
        <f>D51+14</f>
        <v>14</v>
      </c>
      <c r="F60" s="103">
        <f>E51+7</f>
        <v>7</v>
      </c>
      <c r="G60" s="87"/>
      <c r="H60" s="90"/>
      <c r="I60" s="87"/>
      <c r="L60" s="101">
        <f>E51+5</f>
        <v>5</v>
      </c>
      <c r="M60" s="102">
        <f>C51+20</f>
        <v>20</v>
      </c>
      <c r="N60" s="103">
        <f>E51+5</f>
        <v>5</v>
      </c>
    </row>
    <row r="61" spans="1:14" ht="13.2"/>
    <row r="62" spans="1:14" ht="15.6">
      <c r="A62" s="260">
        <v>6</v>
      </c>
      <c r="C62" s="85" t="s">
        <v>56</v>
      </c>
      <c r="D62" s="85" t="s">
        <v>57</v>
      </c>
      <c r="E62" s="85" t="s">
        <v>66</v>
      </c>
      <c r="F62" s="261" t="s">
        <v>58</v>
      </c>
      <c r="G62" s="261"/>
      <c r="H62" s="87" t="s">
        <v>59</v>
      </c>
      <c r="J62" s="262" t="s">
        <v>60</v>
      </c>
      <c r="K62" s="262"/>
    </row>
    <row r="63" spans="1:14" ht="13.2">
      <c r="A63" s="260"/>
      <c r="B63" s="89" t="s">
        <v>67</v>
      </c>
      <c r="C63" s="85">
        <f>Kalk!C24</f>
        <v>0</v>
      </c>
      <c r="D63" s="85">
        <f>Kalk!E24</f>
        <v>0</v>
      </c>
      <c r="E63" s="85">
        <f>Kalk!G24</f>
        <v>0</v>
      </c>
      <c r="F63" s="87">
        <f>SUM(L69:N69)</f>
        <v>12</v>
      </c>
      <c r="G63" s="87">
        <f>SUM(B69:F69)</f>
        <v>16</v>
      </c>
      <c r="H63" s="90">
        <f>(F63*G63)/1000000</f>
        <v>1.92E-4</v>
      </c>
      <c r="I63" s="91">
        <f>I70/H63</f>
        <v>2604166.6666666665</v>
      </c>
      <c r="J63" s="92">
        <f t="shared" ref="J63:K66" si="5">F63+10</f>
        <v>22</v>
      </c>
      <c r="K63" s="92">
        <f t="shared" si="5"/>
        <v>26</v>
      </c>
    </row>
    <row r="64" spans="1:14" ht="13.2">
      <c r="A64" s="260"/>
      <c r="B64" s="89" t="s">
        <v>68</v>
      </c>
      <c r="C64" s="6"/>
      <c r="D64" s="6"/>
      <c r="E64" s="6"/>
      <c r="F64" s="87">
        <f>SUM(L70:N70)</f>
        <v>18</v>
      </c>
      <c r="G64" s="87">
        <f>SUM(B70:F70)</f>
        <v>21</v>
      </c>
      <c r="H64" s="93">
        <f>F64*G64/1000000</f>
        <v>3.7800000000000003E-4</v>
      </c>
      <c r="I64" s="91">
        <f>I70/H64</f>
        <v>1322751.3227513228</v>
      </c>
      <c r="J64" s="92">
        <f t="shared" si="5"/>
        <v>28</v>
      </c>
      <c r="K64" s="92">
        <f t="shared" si="5"/>
        <v>31</v>
      </c>
    </row>
    <row r="65" spans="1:14" ht="13.2">
      <c r="A65" s="260"/>
      <c r="B65" s="89" t="s">
        <v>69</v>
      </c>
      <c r="C65" s="6"/>
      <c r="D65" s="6"/>
      <c r="E65" s="6"/>
      <c r="F65" s="87">
        <f>SUM(L71:N71)</f>
        <v>23</v>
      </c>
      <c r="G65" s="87">
        <f>SUM(B71:F71)</f>
        <v>26</v>
      </c>
      <c r="H65" s="93">
        <f>F65*G65/1000000</f>
        <v>5.9800000000000001E-4</v>
      </c>
      <c r="I65" s="91">
        <f>I70/H65</f>
        <v>836120.40133779263</v>
      </c>
      <c r="J65" s="92">
        <f t="shared" si="5"/>
        <v>33</v>
      </c>
      <c r="K65" s="92">
        <f t="shared" si="5"/>
        <v>36</v>
      </c>
    </row>
    <row r="66" spans="1:14" ht="13.2">
      <c r="A66" s="260"/>
      <c r="B66" s="89" t="s">
        <v>70</v>
      </c>
      <c r="C66" s="6"/>
      <c r="D66" s="6"/>
      <c r="E66" s="6"/>
      <c r="F66" s="87">
        <f>SUM(L72:N72)</f>
        <v>30</v>
      </c>
      <c r="G66" s="87">
        <f>SUM(B72:F72)</f>
        <v>36</v>
      </c>
      <c r="H66" s="93">
        <f>F66*G66/1000000</f>
        <v>1.08E-3</v>
      </c>
      <c r="I66" s="91">
        <f>I70/H66</f>
        <v>462962.96296296298</v>
      </c>
      <c r="J66" s="92">
        <f t="shared" si="5"/>
        <v>40</v>
      </c>
      <c r="K66" s="92">
        <f t="shared" si="5"/>
        <v>46</v>
      </c>
    </row>
    <row r="67" spans="1:14" ht="13.2">
      <c r="A67" s="260"/>
      <c r="E67" t="s">
        <v>35</v>
      </c>
    </row>
    <row r="68" spans="1:14" ht="13.35" customHeight="1">
      <c r="A68" s="260"/>
      <c r="B68" s="263" t="s">
        <v>81</v>
      </c>
      <c r="C68" s="263"/>
      <c r="D68" s="263"/>
      <c r="E68" s="263"/>
      <c r="F68" s="263"/>
      <c r="G68" s="86"/>
      <c r="H68" s="87"/>
      <c r="I68" s="264" t="s">
        <v>63</v>
      </c>
      <c r="L68" s="263" t="s">
        <v>82</v>
      </c>
      <c r="M68" s="263"/>
      <c r="N68" s="263"/>
    </row>
    <row r="69" spans="1:14" ht="13.2">
      <c r="A69" s="260"/>
      <c r="B69" s="101">
        <f>E63</f>
        <v>0</v>
      </c>
      <c r="C69" s="97">
        <f>D63+3</f>
        <v>3</v>
      </c>
      <c r="D69" s="98">
        <f>E63+4</f>
        <v>4</v>
      </c>
      <c r="E69" s="98">
        <f>D63+6</f>
        <v>6</v>
      </c>
      <c r="F69" s="98">
        <f>E63+3</f>
        <v>3</v>
      </c>
      <c r="G69" s="87"/>
      <c r="H69" s="90"/>
      <c r="I69" s="264"/>
      <c r="L69" s="101">
        <f>E63+1</f>
        <v>1</v>
      </c>
      <c r="M69" s="97">
        <f>C63+10</f>
        <v>10</v>
      </c>
      <c r="N69" s="98">
        <f>E63+1</f>
        <v>1</v>
      </c>
    </row>
    <row r="70" spans="1:14" ht="13.2">
      <c r="A70" s="260"/>
      <c r="B70" s="101">
        <f>E63</f>
        <v>0</v>
      </c>
      <c r="C70" s="102">
        <f>D63+4</f>
        <v>4</v>
      </c>
      <c r="D70" s="103">
        <f>E63+5</f>
        <v>5</v>
      </c>
      <c r="E70" s="103">
        <f>D63+8</f>
        <v>8</v>
      </c>
      <c r="F70" s="103">
        <f>E63+4</f>
        <v>4</v>
      </c>
      <c r="G70" s="87"/>
      <c r="H70" s="90"/>
      <c r="I70" s="99">
        <v>500</v>
      </c>
      <c r="L70" s="101">
        <f>E63+2</f>
        <v>2</v>
      </c>
      <c r="M70" s="102">
        <f>C63+14</f>
        <v>14</v>
      </c>
      <c r="N70" s="103">
        <f>E63+2</f>
        <v>2</v>
      </c>
    </row>
    <row r="71" spans="1:14" ht="13.2">
      <c r="A71" s="260"/>
      <c r="B71" s="101">
        <f>E63</f>
        <v>0</v>
      </c>
      <c r="C71" s="102">
        <f>D63+5</f>
        <v>5</v>
      </c>
      <c r="D71" s="103">
        <f>E63+6</f>
        <v>6</v>
      </c>
      <c r="E71" s="103">
        <f>D63+10</f>
        <v>10</v>
      </c>
      <c r="F71" s="103">
        <f>E63+5</f>
        <v>5</v>
      </c>
      <c r="G71" s="87"/>
      <c r="H71" s="90"/>
      <c r="I71" s="87"/>
      <c r="L71" s="101">
        <f>E63+3</f>
        <v>3</v>
      </c>
      <c r="M71" s="102">
        <f>C63+17</f>
        <v>17</v>
      </c>
      <c r="N71" s="103">
        <f>E63+3</f>
        <v>3</v>
      </c>
    </row>
    <row r="72" spans="1:14" ht="13.2">
      <c r="A72" s="260"/>
      <c r="B72" s="101">
        <f>E63</f>
        <v>0</v>
      </c>
      <c r="C72" s="102">
        <f>D63+7</f>
        <v>7</v>
      </c>
      <c r="D72" s="103">
        <f>E63+8</f>
        <v>8</v>
      </c>
      <c r="E72" s="103">
        <f>D63+14</f>
        <v>14</v>
      </c>
      <c r="F72" s="103">
        <f>E63+7</f>
        <v>7</v>
      </c>
      <c r="G72" s="87"/>
      <c r="H72" s="90"/>
      <c r="I72" s="87"/>
      <c r="L72" s="101">
        <f>E63+5</f>
        <v>5</v>
      </c>
      <c r="M72" s="102">
        <f>C63+20</f>
        <v>20</v>
      </c>
      <c r="N72" s="103">
        <f>E63+5</f>
        <v>5</v>
      </c>
    </row>
    <row r="73" spans="1:14" ht="13.2"/>
    <row r="74" spans="1:14" ht="15.6">
      <c r="A74" s="260">
        <v>7</v>
      </c>
      <c r="C74" s="85" t="s">
        <v>56</v>
      </c>
      <c r="D74" s="85" t="s">
        <v>57</v>
      </c>
      <c r="E74" s="85" t="s">
        <v>66</v>
      </c>
      <c r="F74" s="261" t="s">
        <v>58</v>
      </c>
      <c r="G74" s="261"/>
      <c r="H74" s="87" t="s">
        <v>59</v>
      </c>
      <c r="J74" s="262" t="s">
        <v>60</v>
      </c>
      <c r="K74" s="262"/>
    </row>
    <row r="75" spans="1:14" ht="13.2">
      <c r="A75" s="260"/>
      <c r="B75" s="89" t="s">
        <v>67</v>
      </c>
      <c r="C75" s="85">
        <f>Kalk!C28</f>
        <v>0</v>
      </c>
      <c r="D75" s="85">
        <f>Kalk!E28</f>
        <v>0</v>
      </c>
      <c r="E75" s="85">
        <f>Kalk!G28</f>
        <v>0</v>
      </c>
      <c r="F75" s="87">
        <f>SUM(L81:N81)</f>
        <v>12</v>
      </c>
      <c r="G75" s="87">
        <f>SUM(B81:F81)</f>
        <v>16</v>
      </c>
      <c r="H75" s="90">
        <f>(F75*G75)/1000000</f>
        <v>1.92E-4</v>
      </c>
      <c r="I75" s="91">
        <f>I82/H75</f>
        <v>2604166.6666666665</v>
      </c>
      <c r="J75" s="92">
        <f t="shared" ref="J75:K78" si="6">F75+10</f>
        <v>22</v>
      </c>
      <c r="K75" s="92">
        <f t="shared" si="6"/>
        <v>26</v>
      </c>
    </row>
    <row r="76" spans="1:14" ht="13.2">
      <c r="A76" s="260"/>
      <c r="B76" s="89" t="s">
        <v>68</v>
      </c>
      <c r="C76" s="6"/>
      <c r="D76" s="6"/>
      <c r="E76" s="6"/>
      <c r="F76" s="87">
        <f>SUM(L82:N82)</f>
        <v>18</v>
      </c>
      <c r="G76" s="87">
        <f>SUM(B82:F82)</f>
        <v>21</v>
      </c>
      <c r="H76" s="93">
        <f>F76*G76/1000000</f>
        <v>3.7800000000000003E-4</v>
      </c>
      <c r="I76" s="91">
        <f>I82/H76</f>
        <v>1322751.3227513228</v>
      </c>
      <c r="J76" s="92">
        <f t="shared" si="6"/>
        <v>28</v>
      </c>
      <c r="K76" s="92">
        <f t="shared" si="6"/>
        <v>31</v>
      </c>
    </row>
    <row r="77" spans="1:14" ht="13.2">
      <c r="A77" s="260"/>
      <c r="B77" s="89" t="s">
        <v>69</v>
      </c>
      <c r="C77" s="6"/>
      <c r="D77" s="6"/>
      <c r="E77" s="6"/>
      <c r="F77" s="87">
        <f>SUM(L83:N83)</f>
        <v>23</v>
      </c>
      <c r="G77" s="87">
        <f>SUM(B83:F83)</f>
        <v>26</v>
      </c>
      <c r="H77" s="93">
        <f>F77*G77/1000000</f>
        <v>5.9800000000000001E-4</v>
      </c>
      <c r="I77" s="91">
        <f>I82/H77</f>
        <v>836120.40133779263</v>
      </c>
      <c r="J77" s="92">
        <f t="shared" si="6"/>
        <v>33</v>
      </c>
      <c r="K77" s="92">
        <f t="shared" si="6"/>
        <v>36</v>
      </c>
    </row>
    <row r="78" spans="1:14" ht="13.2">
      <c r="A78" s="260"/>
      <c r="B78" s="89" t="s">
        <v>70</v>
      </c>
      <c r="C78" s="6"/>
      <c r="D78" s="6"/>
      <c r="E78" s="6"/>
      <c r="F78" s="87">
        <f>SUM(L84:N84)</f>
        <v>30</v>
      </c>
      <c r="G78" s="87">
        <f>SUM(B84:F84)</f>
        <v>36</v>
      </c>
      <c r="H78" s="93">
        <f>F78*G78/1000000</f>
        <v>1.08E-3</v>
      </c>
      <c r="I78" s="91">
        <f>I82/H78</f>
        <v>462962.96296296298</v>
      </c>
      <c r="J78" s="92">
        <f t="shared" si="6"/>
        <v>40</v>
      </c>
      <c r="K78" s="92">
        <f t="shared" si="6"/>
        <v>46</v>
      </c>
    </row>
    <row r="79" spans="1:14" ht="13.2">
      <c r="A79" s="260"/>
      <c r="E79" t="s">
        <v>35</v>
      </c>
    </row>
    <row r="80" spans="1:14" ht="13.35" customHeight="1">
      <c r="A80" s="260"/>
      <c r="B80" s="263" t="s">
        <v>81</v>
      </c>
      <c r="C80" s="263"/>
      <c r="D80" s="263"/>
      <c r="E80" s="263"/>
      <c r="F80" s="263"/>
      <c r="G80" s="86"/>
      <c r="H80" s="87"/>
      <c r="I80" s="264" t="s">
        <v>63</v>
      </c>
      <c r="L80" s="263" t="s">
        <v>82</v>
      </c>
      <c r="M80" s="263"/>
      <c r="N80" s="263"/>
    </row>
    <row r="81" spans="1:14" ht="13.2">
      <c r="A81" s="260"/>
      <c r="B81" s="101">
        <f>E75</f>
        <v>0</v>
      </c>
      <c r="C81" s="97">
        <f>D75+3</f>
        <v>3</v>
      </c>
      <c r="D81" s="98">
        <f>E75+4</f>
        <v>4</v>
      </c>
      <c r="E81" s="98">
        <f>D75+6</f>
        <v>6</v>
      </c>
      <c r="F81" s="98">
        <f>E75+3</f>
        <v>3</v>
      </c>
      <c r="G81" s="87"/>
      <c r="H81" s="90"/>
      <c r="I81" s="264"/>
      <c r="L81" s="101">
        <f>E75+1</f>
        <v>1</v>
      </c>
      <c r="M81" s="97">
        <f>C75+10</f>
        <v>10</v>
      </c>
      <c r="N81" s="98">
        <f>E75+1</f>
        <v>1</v>
      </c>
    </row>
    <row r="82" spans="1:14" ht="13.2">
      <c r="A82" s="260"/>
      <c r="B82" s="101">
        <f>E75</f>
        <v>0</v>
      </c>
      <c r="C82" s="102">
        <f>D75+4</f>
        <v>4</v>
      </c>
      <c r="D82" s="103">
        <f>E75+5</f>
        <v>5</v>
      </c>
      <c r="E82" s="103">
        <f>D75+8</f>
        <v>8</v>
      </c>
      <c r="F82" s="103">
        <f>E75+4</f>
        <v>4</v>
      </c>
      <c r="G82" s="87"/>
      <c r="H82" s="90"/>
      <c r="I82" s="99">
        <v>500</v>
      </c>
      <c r="L82" s="101">
        <f>E75+2</f>
        <v>2</v>
      </c>
      <c r="M82" s="102">
        <f>C75+14</f>
        <v>14</v>
      </c>
      <c r="N82" s="103">
        <f>E75+2</f>
        <v>2</v>
      </c>
    </row>
    <row r="83" spans="1:14" ht="13.2">
      <c r="A83" s="260"/>
      <c r="B83" s="101">
        <f>E75</f>
        <v>0</v>
      </c>
      <c r="C83" s="102">
        <f>D75+5</f>
        <v>5</v>
      </c>
      <c r="D83" s="103">
        <f>E75+6</f>
        <v>6</v>
      </c>
      <c r="E83" s="103">
        <f>D75+10</f>
        <v>10</v>
      </c>
      <c r="F83" s="103">
        <f>E75+5</f>
        <v>5</v>
      </c>
      <c r="G83" s="87"/>
      <c r="H83" s="90"/>
      <c r="I83" s="87"/>
      <c r="L83" s="101">
        <f>E75+3</f>
        <v>3</v>
      </c>
      <c r="M83" s="102">
        <f>C75+17</f>
        <v>17</v>
      </c>
      <c r="N83" s="103">
        <f>E75+3</f>
        <v>3</v>
      </c>
    </row>
    <row r="84" spans="1:14" ht="13.2">
      <c r="A84" s="260"/>
      <c r="B84" s="101">
        <f>E75</f>
        <v>0</v>
      </c>
      <c r="C84" s="102">
        <f>D75+7</f>
        <v>7</v>
      </c>
      <c r="D84" s="103">
        <f>E75+8</f>
        <v>8</v>
      </c>
      <c r="E84" s="103">
        <f>D75+14</f>
        <v>14</v>
      </c>
      <c r="F84" s="103">
        <f>E75+7</f>
        <v>7</v>
      </c>
      <c r="G84" s="87"/>
      <c r="H84" s="90"/>
      <c r="I84" s="87"/>
      <c r="L84" s="101">
        <f>E75+5</f>
        <v>5</v>
      </c>
      <c r="M84" s="102">
        <f>C75+20</f>
        <v>20</v>
      </c>
      <c r="N84" s="103">
        <f>E75+5</f>
        <v>5</v>
      </c>
    </row>
    <row r="85" spans="1:14" ht="13.2"/>
    <row r="86" spans="1:14" ht="15.6">
      <c r="A86" s="260">
        <v>8</v>
      </c>
      <c r="C86" s="85" t="s">
        <v>56</v>
      </c>
      <c r="D86" s="85" t="s">
        <v>57</v>
      </c>
      <c r="E86" s="85" t="s">
        <v>66</v>
      </c>
      <c r="F86" s="261" t="s">
        <v>58</v>
      </c>
      <c r="G86" s="261"/>
      <c r="H86" s="87" t="s">
        <v>59</v>
      </c>
      <c r="J86" s="262" t="s">
        <v>60</v>
      </c>
      <c r="K86" s="262"/>
    </row>
    <row r="87" spans="1:14" ht="13.2">
      <c r="A87" s="260"/>
      <c r="B87" s="89" t="s">
        <v>67</v>
      </c>
      <c r="C87" s="85">
        <f>Kalk!C32</f>
        <v>0</v>
      </c>
      <c r="D87" s="85">
        <f>Kalk!E32</f>
        <v>0</v>
      </c>
      <c r="E87" s="85">
        <f>Kalk!G32</f>
        <v>0</v>
      </c>
      <c r="F87" s="87">
        <f>SUM(L93:N93)</f>
        <v>12</v>
      </c>
      <c r="G87" s="87">
        <f>SUM(B93:F93)</f>
        <v>16</v>
      </c>
      <c r="H87" s="90">
        <f>(F87*G87)/1000000</f>
        <v>1.92E-4</v>
      </c>
      <c r="I87" s="91">
        <f>I94/H87</f>
        <v>2604166.6666666665</v>
      </c>
      <c r="J87" s="92">
        <f t="shared" ref="J87:K90" si="7">F87+10</f>
        <v>22</v>
      </c>
      <c r="K87" s="92">
        <f t="shared" si="7"/>
        <v>26</v>
      </c>
    </row>
    <row r="88" spans="1:14" ht="13.2">
      <c r="A88" s="260"/>
      <c r="B88" s="89" t="s">
        <v>68</v>
      </c>
      <c r="C88" s="6"/>
      <c r="D88" s="6"/>
      <c r="E88" s="6"/>
      <c r="F88" s="87">
        <f>SUM(L94:N94)</f>
        <v>18</v>
      </c>
      <c r="G88" s="87">
        <f>SUM(B94:F94)</f>
        <v>21</v>
      </c>
      <c r="H88" s="93">
        <f>F88*G88/1000000</f>
        <v>3.7800000000000003E-4</v>
      </c>
      <c r="I88" s="91">
        <f>I94/H88</f>
        <v>1322751.3227513228</v>
      </c>
      <c r="J88" s="92">
        <f t="shared" si="7"/>
        <v>28</v>
      </c>
      <c r="K88" s="92">
        <f t="shared" si="7"/>
        <v>31</v>
      </c>
    </row>
    <row r="89" spans="1:14" ht="13.2">
      <c r="A89" s="260"/>
      <c r="B89" s="89" t="s">
        <v>69</v>
      </c>
      <c r="C89" s="6"/>
      <c r="D89" s="6"/>
      <c r="E89" s="6"/>
      <c r="F89" s="87">
        <f>SUM(L95:N95)</f>
        <v>23</v>
      </c>
      <c r="G89" s="87">
        <f>SUM(B95:F95)</f>
        <v>26</v>
      </c>
      <c r="H89" s="93">
        <f>F89*G89/1000000</f>
        <v>5.9800000000000001E-4</v>
      </c>
      <c r="I89" s="91">
        <f>I94/H89</f>
        <v>836120.40133779263</v>
      </c>
      <c r="J89" s="92">
        <f t="shared" si="7"/>
        <v>33</v>
      </c>
      <c r="K89" s="92">
        <f t="shared" si="7"/>
        <v>36</v>
      </c>
    </row>
    <row r="90" spans="1:14" ht="13.2">
      <c r="A90" s="260"/>
      <c r="B90" s="89" t="s">
        <v>70</v>
      </c>
      <c r="C90" s="6"/>
      <c r="D90" s="6"/>
      <c r="E90" s="6"/>
      <c r="F90" s="87">
        <f>SUM(L96:N96)</f>
        <v>30</v>
      </c>
      <c r="G90" s="87">
        <f>SUM(B96:F96)</f>
        <v>36</v>
      </c>
      <c r="H90" s="93">
        <f>F90*G90/1000000</f>
        <v>1.08E-3</v>
      </c>
      <c r="I90" s="91">
        <f>I94/H90</f>
        <v>462962.96296296298</v>
      </c>
      <c r="J90" s="92">
        <f t="shared" si="7"/>
        <v>40</v>
      </c>
      <c r="K90" s="92">
        <f t="shared" si="7"/>
        <v>46</v>
      </c>
    </row>
    <row r="91" spans="1:14" ht="13.2">
      <c r="A91" s="260"/>
      <c r="E91" t="s">
        <v>35</v>
      </c>
    </row>
    <row r="92" spans="1:14" ht="13.35" customHeight="1">
      <c r="A92" s="260"/>
      <c r="B92" s="263" t="s">
        <v>81</v>
      </c>
      <c r="C92" s="263"/>
      <c r="D92" s="263"/>
      <c r="E92" s="263"/>
      <c r="F92" s="263"/>
      <c r="G92" s="86"/>
      <c r="H92" s="87"/>
      <c r="I92" s="264" t="s">
        <v>63</v>
      </c>
      <c r="L92" s="263" t="s">
        <v>82</v>
      </c>
      <c r="M92" s="263"/>
      <c r="N92" s="263"/>
    </row>
    <row r="93" spans="1:14" ht="13.2">
      <c r="A93" s="260"/>
      <c r="B93" s="101">
        <f>E87</f>
        <v>0</v>
      </c>
      <c r="C93" s="97">
        <f>D87+3</f>
        <v>3</v>
      </c>
      <c r="D93" s="98">
        <f>E87+4</f>
        <v>4</v>
      </c>
      <c r="E93" s="98">
        <f>D87+6</f>
        <v>6</v>
      </c>
      <c r="F93" s="98">
        <f>E87+3</f>
        <v>3</v>
      </c>
      <c r="G93" s="87"/>
      <c r="H93" s="90"/>
      <c r="I93" s="264"/>
      <c r="L93" s="101">
        <f>E87+1</f>
        <v>1</v>
      </c>
      <c r="M93" s="97">
        <f>C87+10</f>
        <v>10</v>
      </c>
      <c r="N93" s="98">
        <f>E87+1</f>
        <v>1</v>
      </c>
    </row>
    <row r="94" spans="1:14" ht="13.2">
      <c r="A94" s="260"/>
      <c r="B94" s="101">
        <f>E87</f>
        <v>0</v>
      </c>
      <c r="C94" s="102">
        <f>D87+4</f>
        <v>4</v>
      </c>
      <c r="D94" s="103">
        <f>E87+5</f>
        <v>5</v>
      </c>
      <c r="E94" s="103">
        <f>D87+8</f>
        <v>8</v>
      </c>
      <c r="F94" s="103">
        <f>E87+4</f>
        <v>4</v>
      </c>
      <c r="G94" s="87"/>
      <c r="H94" s="90"/>
      <c r="I94" s="99">
        <v>500</v>
      </c>
      <c r="L94" s="101">
        <f>E87+2</f>
        <v>2</v>
      </c>
      <c r="M94" s="102">
        <f>C87+14</f>
        <v>14</v>
      </c>
      <c r="N94" s="103">
        <f>E87+2</f>
        <v>2</v>
      </c>
    </row>
    <row r="95" spans="1:14" ht="13.2">
      <c r="A95" s="260"/>
      <c r="B95" s="101">
        <f>E87</f>
        <v>0</v>
      </c>
      <c r="C95" s="102">
        <f>D87+5</f>
        <v>5</v>
      </c>
      <c r="D95" s="103">
        <f>E87+6</f>
        <v>6</v>
      </c>
      <c r="E95" s="103">
        <f>D87+10</f>
        <v>10</v>
      </c>
      <c r="F95" s="103">
        <f>E87+5</f>
        <v>5</v>
      </c>
      <c r="G95" s="87"/>
      <c r="H95" s="90"/>
      <c r="I95" s="87"/>
      <c r="L95" s="101">
        <f>E87+3</f>
        <v>3</v>
      </c>
      <c r="M95" s="102">
        <f>C87+17</f>
        <v>17</v>
      </c>
      <c r="N95" s="103">
        <f>E87+3</f>
        <v>3</v>
      </c>
    </row>
    <row r="96" spans="1:14" ht="13.2">
      <c r="A96" s="260"/>
      <c r="B96" s="101">
        <f>E87</f>
        <v>0</v>
      </c>
      <c r="C96" s="102">
        <f>D87+7</f>
        <v>7</v>
      </c>
      <c r="D96" s="103">
        <f>E87+8</f>
        <v>8</v>
      </c>
      <c r="E96" s="103">
        <f>D87+14</f>
        <v>14</v>
      </c>
      <c r="F96" s="103">
        <f>E87+7</f>
        <v>7</v>
      </c>
      <c r="G96" s="87"/>
      <c r="H96" s="90"/>
      <c r="I96" s="87"/>
      <c r="L96" s="101">
        <f>E87+5</f>
        <v>5</v>
      </c>
      <c r="M96" s="102">
        <f>C87+20</f>
        <v>20</v>
      </c>
      <c r="N96" s="103">
        <f>E87+5</f>
        <v>5</v>
      </c>
    </row>
    <row r="97" spans="1:14" ht="13.2"/>
    <row r="98" spans="1:14" ht="15.6">
      <c r="A98" s="260">
        <v>9</v>
      </c>
      <c r="C98" s="85" t="s">
        <v>56</v>
      </c>
      <c r="D98" s="85" t="s">
        <v>57</v>
      </c>
      <c r="E98" s="85" t="s">
        <v>66</v>
      </c>
      <c r="F98" s="261" t="s">
        <v>58</v>
      </c>
      <c r="G98" s="261"/>
      <c r="H98" s="87" t="s">
        <v>59</v>
      </c>
      <c r="J98" s="262" t="s">
        <v>60</v>
      </c>
      <c r="K98" s="262"/>
    </row>
    <row r="99" spans="1:14" ht="13.2">
      <c r="A99" s="260"/>
      <c r="B99" s="89" t="s">
        <v>67</v>
      </c>
      <c r="C99" s="85">
        <f>Kalk!C36</f>
        <v>0</v>
      </c>
      <c r="D99" s="85">
        <f>Kalk!E36</f>
        <v>0</v>
      </c>
      <c r="E99" s="85">
        <f>Kalk!G36</f>
        <v>0</v>
      </c>
      <c r="F99" s="87">
        <f>SUM(L105:N105)</f>
        <v>12</v>
      </c>
      <c r="G99" s="87">
        <f>SUM(B105:F105)</f>
        <v>16</v>
      </c>
      <c r="H99" s="90">
        <f>(F99*G99)/1000000</f>
        <v>1.92E-4</v>
      </c>
      <c r="I99" s="91">
        <f>I106/H99</f>
        <v>2604166.6666666665</v>
      </c>
      <c r="J99" s="92">
        <f t="shared" ref="J99:K102" si="8">F99+10</f>
        <v>22</v>
      </c>
      <c r="K99" s="92">
        <f t="shared" si="8"/>
        <v>26</v>
      </c>
    </row>
    <row r="100" spans="1:14" ht="13.2">
      <c r="A100" s="260"/>
      <c r="B100" s="89" t="s">
        <v>68</v>
      </c>
      <c r="C100" s="6"/>
      <c r="D100" s="6"/>
      <c r="E100" s="6"/>
      <c r="F100" s="87">
        <f>SUM(L106:N106)</f>
        <v>18</v>
      </c>
      <c r="G100" s="87">
        <f>SUM(B106:F106)</f>
        <v>21</v>
      </c>
      <c r="H100" s="93">
        <f>F100*G100/1000000</f>
        <v>3.7800000000000003E-4</v>
      </c>
      <c r="I100" s="91">
        <f>I106/H100</f>
        <v>1322751.3227513228</v>
      </c>
      <c r="J100" s="92">
        <f t="shared" si="8"/>
        <v>28</v>
      </c>
      <c r="K100" s="92">
        <f t="shared" si="8"/>
        <v>31</v>
      </c>
    </row>
    <row r="101" spans="1:14" ht="13.2">
      <c r="A101" s="260"/>
      <c r="B101" s="89" t="s">
        <v>69</v>
      </c>
      <c r="C101" s="6"/>
      <c r="D101" s="6"/>
      <c r="E101" s="6"/>
      <c r="F101" s="87">
        <f>SUM(L107:N107)</f>
        <v>23</v>
      </c>
      <c r="G101" s="87">
        <f>SUM(B107:F107)</f>
        <v>26</v>
      </c>
      <c r="H101" s="93">
        <f>F101*G101/1000000</f>
        <v>5.9800000000000001E-4</v>
      </c>
      <c r="I101" s="91">
        <f>I106/H101</f>
        <v>836120.40133779263</v>
      </c>
      <c r="J101" s="92">
        <f t="shared" si="8"/>
        <v>33</v>
      </c>
      <c r="K101" s="92">
        <f t="shared" si="8"/>
        <v>36</v>
      </c>
    </row>
    <row r="102" spans="1:14" ht="13.2">
      <c r="A102" s="260"/>
      <c r="B102" s="89" t="s">
        <v>70</v>
      </c>
      <c r="C102" s="6"/>
      <c r="D102" s="6"/>
      <c r="E102" s="6"/>
      <c r="F102" s="87">
        <f>SUM(L108:N108)</f>
        <v>30</v>
      </c>
      <c r="G102" s="87">
        <f>SUM(B108:F108)</f>
        <v>36</v>
      </c>
      <c r="H102" s="93">
        <f>F102*G102/1000000</f>
        <v>1.08E-3</v>
      </c>
      <c r="I102" s="91">
        <f>I106/H102</f>
        <v>462962.96296296298</v>
      </c>
      <c r="J102" s="92">
        <f t="shared" si="8"/>
        <v>40</v>
      </c>
      <c r="K102" s="92">
        <f t="shared" si="8"/>
        <v>46</v>
      </c>
    </row>
    <row r="103" spans="1:14" ht="13.2">
      <c r="A103" s="260"/>
      <c r="E103" t="s">
        <v>35</v>
      </c>
    </row>
    <row r="104" spans="1:14" ht="13.35" customHeight="1">
      <c r="A104" s="260"/>
      <c r="B104" s="263" t="s">
        <v>81</v>
      </c>
      <c r="C104" s="263"/>
      <c r="D104" s="263"/>
      <c r="E104" s="263"/>
      <c r="F104" s="263"/>
      <c r="G104" s="86"/>
      <c r="H104" s="87"/>
      <c r="I104" s="264" t="s">
        <v>63</v>
      </c>
      <c r="L104" s="263" t="s">
        <v>82</v>
      </c>
      <c r="M104" s="263"/>
      <c r="N104" s="263"/>
    </row>
    <row r="105" spans="1:14" ht="13.2">
      <c r="A105" s="260"/>
      <c r="B105" s="101">
        <f>E99</f>
        <v>0</v>
      </c>
      <c r="C105" s="97">
        <f>D99+3</f>
        <v>3</v>
      </c>
      <c r="D105" s="98">
        <f>E99+4</f>
        <v>4</v>
      </c>
      <c r="E105" s="98">
        <f>D99+6</f>
        <v>6</v>
      </c>
      <c r="F105" s="98">
        <f>E99+3</f>
        <v>3</v>
      </c>
      <c r="G105" s="87"/>
      <c r="H105" s="90"/>
      <c r="I105" s="264"/>
      <c r="L105" s="101">
        <f>E99+1</f>
        <v>1</v>
      </c>
      <c r="M105" s="97">
        <f>C99+10</f>
        <v>10</v>
      </c>
      <c r="N105" s="98">
        <f>E99+1</f>
        <v>1</v>
      </c>
    </row>
    <row r="106" spans="1:14" ht="13.2">
      <c r="A106" s="260"/>
      <c r="B106" s="101">
        <f>E99</f>
        <v>0</v>
      </c>
      <c r="C106" s="102">
        <f>D99+4</f>
        <v>4</v>
      </c>
      <c r="D106" s="103">
        <f>E99+5</f>
        <v>5</v>
      </c>
      <c r="E106" s="103">
        <f>D99+8</f>
        <v>8</v>
      </c>
      <c r="F106" s="103">
        <f>E99+4</f>
        <v>4</v>
      </c>
      <c r="G106" s="87"/>
      <c r="H106" s="90"/>
      <c r="I106" s="99">
        <v>500</v>
      </c>
      <c r="L106" s="101">
        <f>E99+2</f>
        <v>2</v>
      </c>
      <c r="M106" s="102">
        <f>C99+14</f>
        <v>14</v>
      </c>
      <c r="N106" s="103">
        <f>E99+2</f>
        <v>2</v>
      </c>
    </row>
    <row r="107" spans="1:14" ht="13.2">
      <c r="A107" s="260"/>
      <c r="B107" s="101">
        <f>E99</f>
        <v>0</v>
      </c>
      <c r="C107" s="102">
        <f>D99+5</f>
        <v>5</v>
      </c>
      <c r="D107" s="103">
        <f>E99+6</f>
        <v>6</v>
      </c>
      <c r="E107" s="103">
        <f>D99+10</f>
        <v>10</v>
      </c>
      <c r="F107" s="103">
        <f>E99+5</f>
        <v>5</v>
      </c>
      <c r="G107" s="87"/>
      <c r="H107" s="90"/>
      <c r="I107" s="87"/>
      <c r="L107" s="101">
        <f>E99+3</f>
        <v>3</v>
      </c>
      <c r="M107" s="102">
        <f>C99+17</f>
        <v>17</v>
      </c>
      <c r="N107" s="103">
        <f>E99+3</f>
        <v>3</v>
      </c>
    </row>
    <row r="108" spans="1:14" ht="13.2">
      <c r="A108" s="260"/>
      <c r="B108" s="101">
        <f>E99</f>
        <v>0</v>
      </c>
      <c r="C108" s="102">
        <f>D99+7</f>
        <v>7</v>
      </c>
      <c r="D108" s="103">
        <f>E99+8</f>
        <v>8</v>
      </c>
      <c r="E108" s="103">
        <f>D99+14</f>
        <v>14</v>
      </c>
      <c r="F108" s="103">
        <f>E99+7</f>
        <v>7</v>
      </c>
      <c r="G108" s="87"/>
      <c r="H108" s="90"/>
      <c r="I108" s="87"/>
      <c r="L108" s="101">
        <f>E99+5</f>
        <v>5</v>
      </c>
      <c r="M108" s="102">
        <f>C99+20</f>
        <v>20</v>
      </c>
      <c r="N108" s="103">
        <f>E99+5</f>
        <v>5</v>
      </c>
    </row>
    <row r="109" spans="1:14" ht="13.2"/>
    <row r="110" spans="1:14" ht="15.6">
      <c r="A110" s="260">
        <v>10</v>
      </c>
      <c r="C110" s="85" t="s">
        <v>56</v>
      </c>
      <c r="D110" s="85" t="s">
        <v>57</v>
      </c>
      <c r="E110" s="85" t="s">
        <v>66</v>
      </c>
      <c r="F110" s="261" t="s">
        <v>58</v>
      </c>
      <c r="G110" s="261"/>
      <c r="H110" s="87" t="s">
        <v>59</v>
      </c>
      <c r="J110" s="262" t="s">
        <v>60</v>
      </c>
      <c r="K110" s="262"/>
    </row>
    <row r="111" spans="1:14" ht="13.2">
      <c r="A111" s="260"/>
      <c r="B111" s="89" t="s">
        <v>67</v>
      </c>
      <c r="C111" s="85">
        <f>Kalk!C40</f>
        <v>0</v>
      </c>
      <c r="D111" s="85">
        <f>Kalk!E40</f>
        <v>0</v>
      </c>
      <c r="E111" s="85">
        <f>Kalk!G40</f>
        <v>0</v>
      </c>
      <c r="F111" s="87">
        <f>SUM(L117:N117)</f>
        <v>12</v>
      </c>
      <c r="G111" s="87">
        <f>SUM(B117:F117)</f>
        <v>16</v>
      </c>
      <c r="H111" s="90">
        <f>(F111*G111)/1000000</f>
        <v>1.92E-4</v>
      </c>
      <c r="I111" s="91">
        <f>I118/H111</f>
        <v>2604166.6666666665</v>
      </c>
      <c r="J111" s="92">
        <f t="shared" ref="J111:K114" si="9">F111+10</f>
        <v>22</v>
      </c>
      <c r="K111" s="92">
        <f t="shared" si="9"/>
        <v>26</v>
      </c>
    </row>
    <row r="112" spans="1:14" ht="13.2">
      <c r="A112" s="260"/>
      <c r="B112" s="89" t="s">
        <v>68</v>
      </c>
      <c r="C112" s="6"/>
      <c r="D112" s="6"/>
      <c r="E112" s="6"/>
      <c r="F112" s="87">
        <f>SUM(L118:N118)</f>
        <v>18</v>
      </c>
      <c r="G112" s="87">
        <f>SUM(B118:F118)</f>
        <v>21</v>
      </c>
      <c r="H112" s="93">
        <f>F112*G112/1000000</f>
        <v>3.7800000000000003E-4</v>
      </c>
      <c r="I112" s="91">
        <f>I118/H112</f>
        <v>1322751.3227513228</v>
      </c>
      <c r="J112" s="92">
        <f t="shared" si="9"/>
        <v>28</v>
      </c>
      <c r="K112" s="92">
        <f t="shared" si="9"/>
        <v>31</v>
      </c>
    </row>
    <row r="113" spans="1:14" ht="13.2">
      <c r="A113" s="260"/>
      <c r="B113" s="89" t="s">
        <v>69</v>
      </c>
      <c r="C113" s="6"/>
      <c r="D113" s="6"/>
      <c r="E113" s="6"/>
      <c r="F113" s="87">
        <f>SUM(L119:N119)</f>
        <v>23</v>
      </c>
      <c r="G113" s="87">
        <f>SUM(B119:F119)</f>
        <v>26</v>
      </c>
      <c r="H113" s="93">
        <f>F113*G113/1000000</f>
        <v>5.9800000000000001E-4</v>
      </c>
      <c r="I113" s="91">
        <f>I118/H113</f>
        <v>836120.40133779263</v>
      </c>
      <c r="J113" s="92">
        <f t="shared" si="9"/>
        <v>33</v>
      </c>
      <c r="K113" s="92">
        <f t="shared" si="9"/>
        <v>36</v>
      </c>
    </row>
    <row r="114" spans="1:14" ht="13.2">
      <c r="A114" s="260"/>
      <c r="B114" s="89" t="s">
        <v>70</v>
      </c>
      <c r="C114" s="6"/>
      <c r="D114" s="6"/>
      <c r="E114" s="6"/>
      <c r="F114" s="87">
        <f>SUM(L120:N120)</f>
        <v>30</v>
      </c>
      <c r="G114" s="87">
        <f>SUM(B120:F120)</f>
        <v>36</v>
      </c>
      <c r="H114" s="93">
        <f>F114*G114/1000000</f>
        <v>1.08E-3</v>
      </c>
      <c r="I114" s="91">
        <f>I118/H114</f>
        <v>462962.96296296298</v>
      </c>
      <c r="J114" s="92">
        <f t="shared" si="9"/>
        <v>40</v>
      </c>
      <c r="K114" s="92">
        <f t="shared" si="9"/>
        <v>46</v>
      </c>
    </row>
    <row r="115" spans="1:14" ht="13.2">
      <c r="A115" s="260"/>
      <c r="E115" t="s">
        <v>35</v>
      </c>
    </row>
    <row r="116" spans="1:14" ht="13.35" customHeight="1">
      <c r="A116" s="260"/>
      <c r="B116" s="263" t="s">
        <v>81</v>
      </c>
      <c r="C116" s="263"/>
      <c r="D116" s="263"/>
      <c r="E116" s="263"/>
      <c r="F116" s="263"/>
      <c r="G116" s="86"/>
      <c r="H116" s="87"/>
      <c r="I116" s="264" t="s">
        <v>63</v>
      </c>
      <c r="L116" s="263" t="s">
        <v>82</v>
      </c>
      <c r="M116" s="263"/>
      <c r="N116" s="263"/>
    </row>
    <row r="117" spans="1:14" ht="13.2">
      <c r="A117" s="260"/>
      <c r="B117" s="101">
        <f>E111</f>
        <v>0</v>
      </c>
      <c r="C117" s="97">
        <f>D111+3</f>
        <v>3</v>
      </c>
      <c r="D117" s="98">
        <f>E111+4</f>
        <v>4</v>
      </c>
      <c r="E117" s="98">
        <f>D111+6</f>
        <v>6</v>
      </c>
      <c r="F117" s="98">
        <f>E111+3</f>
        <v>3</v>
      </c>
      <c r="G117" s="87"/>
      <c r="H117" s="90"/>
      <c r="I117" s="264"/>
      <c r="L117" s="101">
        <f>E111+1</f>
        <v>1</v>
      </c>
      <c r="M117" s="97">
        <f>C111+10</f>
        <v>10</v>
      </c>
      <c r="N117" s="98">
        <f>E111+1</f>
        <v>1</v>
      </c>
    </row>
    <row r="118" spans="1:14" ht="13.2">
      <c r="A118" s="260"/>
      <c r="B118" s="101">
        <f>E111</f>
        <v>0</v>
      </c>
      <c r="C118" s="102">
        <f>D111+4</f>
        <v>4</v>
      </c>
      <c r="D118" s="103">
        <f>E111+5</f>
        <v>5</v>
      </c>
      <c r="E118" s="103">
        <f>D111+8</f>
        <v>8</v>
      </c>
      <c r="F118" s="103">
        <f>E111+4</f>
        <v>4</v>
      </c>
      <c r="G118" s="87"/>
      <c r="H118" s="90"/>
      <c r="I118" s="99">
        <v>500</v>
      </c>
      <c r="L118" s="101">
        <f>E111+2</f>
        <v>2</v>
      </c>
      <c r="M118" s="102">
        <f>C111+14</f>
        <v>14</v>
      </c>
      <c r="N118" s="103">
        <f>E111+2</f>
        <v>2</v>
      </c>
    </row>
    <row r="119" spans="1:14" ht="13.2">
      <c r="A119" s="260"/>
      <c r="B119" s="101">
        <f>E111</f>
        <v>0</v>
      </c>
      <c r="C119" s="102">
        <f>D111+5</f>
        <v>5</v>
      </c>
      <c r="D119" s="103">
        <f>E111+6</f>
        <v>6</v>
      </c>
      <c r="E119" s="103">
        <f>D111+10</f>
        <v>10</v>
      </c>
      <c r="F119" s="103">
        <f>E111+5</f>
        <v>5</v>
      </c>
      <c r="G119" s="87"/>
      <c r="H119" s="90"/>
      <c r="I119" s="87"/>
      <c r="L119" s="101">
        <f>E111+3</f>
        <v>3</v>
      </c>
      <c r="M119" s="102">
        <f>C111+17</f>
        <v>17</v>
      </c>
      <c r="N119" s="103">
        <f>E111+3</f>
        <v>3</v>
      </c>
    </row>
    <row r="120" spans="1:14" ht="13.2">
      <c r="A120" s="260"/>
      <c r="B120" s="101">
        <f>E111</f>
        <v>0</v>
      </c>
      <c r="C120" s="102">
        <f>D111+7</f>
        <v>7</v>
      </c>
      <c r="D120" s="103">
        <f>E111+8</f>
        <v>8</v>
      </c>
      <c r="E120" s="103">
        <f>D111+14</f>
        <v>14</v>
      </c>
      <c r="F120" s="103">
        <f>E111+7</f>
        <v>7</v>
      </c>
      <c r="G120" s="87"/>
      <c r="H120" s="90"/>
      <c r="I120" s="87"/>
      <c r="L120" s="101">
        <f>E111+5</f>
        <v>5</v>
      </c>
      <c r="M120" s="102">
        <f>C111+20</f>
        <v>20</v>
      </c>
      <c r="N120" s="103">
        <f>E111+5</f>
        <v>5</v>
      </c>
    </row>
  </sheetData>
  <mergeCells count="60">
    <mergeCell ref="L8:N8"/>
    <mergeCell ref="A14:A24"/>
    <mergeCell ref="F14:G14"/>
    <mergeCell ref="J14:K14"/>
    <mergeCell ref="B20:F20"/>
    <mergeCell ref="I20:I21"/>
    <mergeCell ref="L20:N20"/>
    <mergeCell ref="A2:A12"/>
    <mergeCell ref="F2:G2"/>
    <mergeCell ref="J2:K2"/>
    <mergeCell ref="B8:F8"/>
    <mergeCell ref="I8:I9"/>
    <mergeCell ref="L32:N32"/>
    <mergeCell ref="A38:A48"/>
    <mergeCell ref="F38:G38"/>
    <mergeCell ref="J38:K38"/>
    <mergeCell ref="B44:F44"/>
    <mergeCell ref="I44:I45"/>
    <mergeCell ref="L44:N44"/>
    <mergeCell ref="A26:A36"/>
    <mergeCell ref="F26:G26"/>
    <mergeCell ref="J26:K26"/>
    <mergeCell ref="B32:F32"/>
    <mergeCell ref="I32:I33"/>
    <mergeCell ref="L56:N56"/>
    <mergeCell ref="A62:A72"/>
    <mergeCell ref="F62:G62"/>
    <mergeCell ref="J62:K62"/>
    <mergeCell ref="B68:F68"/>
    <mergeCell ref="I68:I69"/>
    <mergeCell ref="L68:N68"/>
    <mergeCell ref="A50:A60"/>
    <mergeCell ref="F50:G50"/>
    <mergeCell ref="J50:K50"/>
    <mergeCell ref="B56:F56"/>
    <mergeCell ref="I56:I57"/>
    <mergeCell ref="L80:N80"/>
    <mergeCell ref="A86:A96"/>
    <mergeCell ref="F86:G86"/>
    <mergeCell ref="J86:K86"/>
    <mergeCell ref="B92:F92"/>
    <mergeCell ref="I92:I93"/>
    <mergeCell ref="L92:N92"/>
    <mergeCell ref="A74:A84"/>
    <mergeCell ref="F74:G74"/>
    <mergeCell ref="J74:K74"/>
    <mergeCell ref="B80:F80"/>
    <mergeCell ref="I80:I81"/>
    <mergeCell ref="L104:N104"/>
    <mergeCell ref="A110:A120"/>
    <mergeCell ref="F110:G110"/>
    <mergeCell ref="J110:K110"/>
    <mergeCell ref="B116:F116"/>
    <mergeCell ref="I116:I117"/>
    <mergeCell ref="L116:N116"/>
    <mergeCell ref="A98:A108"/>
    <mergeCell ref="F98:G98"/>
    <mergeCell ref="J98:K98"/>
    <mergeCell ref="B104:F104"/>
    <mergeCell ref="I104:I105"/>
  </mergeCells>
  <pageMargins left="0.78749999999999998" right="0.78749999999999998" top="1.0249999999999999" bottom="1.0249999999999999" header="0.78749999999999998" footer="0.78749999999999998"/>
  <pageSetup paperSize="9" orientation="landscape" horizontalDpi="300" verticalDpi="30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Kalk</vt:lpstr>
      <vt:lpstr>F0110</vt:lpstr>
      <vt:lpstr>F0200</vt:lpstr>
      <vt:lpstr>F0201</vt:lpstr>
      <vt:lpstr>F0202</vt:lpstr>
      <vt:lpstr>F0203</vt:lpstr>
      <vt:lpstr>F0200-F0203</vt:lpstr>
      <vt:lpstr>F0201-F0203</vt:lpstr>
      <vt:lpstr>F0409</vt:lpstr>
      <vt:lpstr>F0410</vt:lpstr>
      <vt:lpstr>F0422</vt:lpstr>
      <vt:lpstr>F0427</vt:lpstr>
      <vt:lpstr>F0451</vt:lpstr>
      <vt:lpstr>F0452</vt:lpstr>
      <vt:lpstr>F0501</vt:lpstr>
      <vt:lpstr>F0711</vt:lpstr>
      <vt:lpstr>F0713</vt:lpstr>
      <vt:lpstr>Kalkulator gramatury</vt:lpstr>
      <vt:lpstr>baza</vt:lpstr>
      <vt:lpstr>ISOWA</vt:lpstr>
      <vt:lpstr>KYS</vt:lpstr>
      <vt:lpstr>TEXO</vt:lpstr>
      <vt:lpstr>ETERNA</vt:lpstr>
      <vt:lpstr>KLEJENIE</vt:lpstr>
      <vt:lpstr>transport</vt:lpstr>
      <vt:lpstr>BCT</vt:lpstr>
      <vt:lpstr>Pakowanie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Mietek </dc:creator>
  <dc:description/>
  <cp:lastModifiedBy>Dominik Szulim</cp:lastModifiedBy>
  <cp:revision>103</cp:revision>
  <dcterms:created xsi:type="dcterms:W3CDTF">2025-01-07T12:14:58Z</dcterms:created>
  <dcterms:modified xsi:type="dcterms:W3CDTF">2025-09-01T18:47:27Z</dcterms:modified>
  <dc:language>en-US</dc:language>
</cp:coreProperties>
</file>